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dicastellanos/Desktop/nuevo sitio MP/Lead-Magnet-SICAP-360/"/>
    </mc:Choice>
  </mc:AlternateContent>
  <xr:revisionPtr revIDLastSave="0" documentId="13_ncr:1_{9FC8C6E0-3733-C64D-931B-E61B10A7E6F1}" xr6:coauthVersionLast="47" xr6:coauthVersionMax="47" xr10:uidLastSave="{00000000-0000-0000-0000-000000000000}"/>
  <workbookProtection workbookAlgorithmName="SHA-512" workbookHashValue="PsJGRrsqlUmfRTjIsZqWxQz/XbG8gRM4J0NZTLGiUivdMwxmLUhhkUgJiafNWUElfXO31J5GXoikUSLINUf5qw==" workbookSaltValue="G/pTQ7LbsS5+jyLasQS6Pg==" workbookSpinCount="100000" lockStructure="1"/>
  <bookViews>
    <workbookView xWindow="0" yWindow="660" windowWidth="29400" windowHeight="18460" xr2:uid="{4D606521-56E5-6542-8913-E9E4E8ABF63C}"/>
  </bookViews>
  <sheets>
    <sheet name="Inicio" sheetId="5" r:id="rId1"/>
    <sheet name="Configuracion Productiva" sheetId="7" r:id="rId2"/>
    <sheet name="Rad Inv Reproductivo" sheetId="14" r:id="rId3"/>
    <sheet name="Rad Flujo Productivo" sheetId="15" r:id="rId4"/>
    <sheet name="Brecha Potencial Productivo" sheetId="1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7" l="1"/>
  <c r="K8" i="7" s="1"/>
  <c r="K7" i="7" s="1"/>
  <c r="K6" i="7" s="1"/>
  <c r="Q18" i="7" s="1"/>
  <c r="Q17" i="7" s="1"/>
  <c r="Q16" i="7" s="1"/>
  <c r="Q15" i="7" s="1"/>
  <c r="Q14" i="7" s="1"/>
  <c r="Q13" i="7" s="1"/>
  <c r="Q12" i="7" s="1"/>
  <c r="Q11" i="7" s="1"/>
  <c r="Q10" i="7" s="1"/>
  <c r="Q9" i="7" s="1"/>
  <c r="Q8" i="7" s="1"/>
  <c r="Q7" i="7" s="1"/>
  <c r="Q6" i="7" s="1"/>
  <c r="K10" i="7"/>
  <c r="Y4" i="16" l="1"/>
  <c r="Y4" i="15"/>
  <c r="P14" i="14"/>
  <c r="L14" i="14"/>
  <c r="H14" i="14"/>
  <c r="D14" i="14"/>
  <c r="G11" i="7"/>
  <c r="F11" i="7"/>
  <c r="H10" i="7"/>
  <c r="H9" i="7"/>
  <c r="G8" i="7"/>
  <c r="H7" i="7"/>
  <c r="G21" i="5"/>
  <c r="H20" i="5"/>
  <c r="H19" i="5"/>
  <c r="H18" i="5"/>
  <c r="I12" i="5"/>
  <c r="H12" i="5"/>
  <c r="J11" i="5"/>
  <c r="P16" i="14" s="1"/>
  <c r="N19" i="14" s="1"/>
  <c r="N22" i="14" s="1"/>
  <c r="G11" i="5"/>
  <c r="J10" i="5"/>
  <c r="L16" i="14" s="1"/>
  <c r="J19" i="14" s="1"/>
  <c r="G10" i="5"/>
  <c r="J9" i="5"/>
  <c r="H16" i="14" s="1"/>
  <c r="G9" i="5"/>
  <c r="J8" i="5"/>
  <c r="G8" i="5"/>
  <c r="L19" i="14" l="1"/>
  <c r="J22" i="14"/>
  <c r="F19" i="14"/>
  <c r="H19" i="14" s="1"/>
  <c r="F6" i="7"/>
  <c r="H6" i="7" s="1"/>
  <c r="J14" i="5"/>
  <c r="J7" i="14" s="1"/>
  <c r="D16" i="14"/>
  <c r="H21" i="5"/>
  <c r="G12" i="7"/>
  <c r="G14" i="7" s="1"/>
  <c r="G15" i="7" s="1"/>
  <c r="P19" i="14"/>
  <c r="Y4" i="14"/>
  <c r="H11" i="7"/>
  <c r="H13" i="7"/>
  <c r="J12" i="5"/>
  <c r="G12" i="5"/>
  <c r="F8" i="7" l="1"/>
  <c r="F12" i="7" s="1"/>
  <c r="F14" i="7" s="1"/>
  <c r="F15" i="7" s="1"/>
  <c r="F22" i="14"/>
  <c r="B19" i="14"/>
  <c r="B22" i="14" s="1"/>
  <c r="L7" i="14"/>
  <c r="O7" i="14" s="1"/>
  <c r="H12" i="7"/>
  <c r="H8" i="7"/>
  <c r="H14" i="7" l="1"/>
  <c r="L11" i="7"/>
  <c r="H15" i="7"/>
  <c r="F17" i="7"/>
  <c r="I7" i="15" s="1"/>
  <c r="M11" i="7"/>
  <c r="M10" i="7" s="1"/>
  <c r="D19" i="14"/>
  <c r="L7" i="15" l="1"/>
  <c r="O7" i="15" s="1"/>
  <c r="L10" i="7"/>
  <c r="M9" i="7"/>
  <c r="M8" i="7" l="1"/>
  <c r="L9" i="7"/>
  <c r="M7" i="7" l="1"/>
  <c r="L8" i="7"/>
  <c r="M6" i="7" l="1"/>
  <c r="L7" i="7"/>
  <c r="L6" i="7" l="1"/>
  <c r="S18" i="7"/>
  <c r="L12" i="7"/>
  <c r="I14" i="15" s="1"/>
  <c r="S17" i="7" l="1"/>
  <c r="S16" i="7" s="1"/>
  <c r="R18" i="7"/>
  <c r="J14" i="15"/>
  <c r="G16" i="15"/>
  <c r="R17" i="7" l="1"/>
  <c r="S15" i="7" l="1"/>
  <c r="R16" i="7"/>
  <c r="S14" i="7" l="1"/>
  <c r="S13" i="7" s="1"/>
  <c r="R15" i="7"/>
  <c r="R14" i="7" l="1"/>
  <c r="S12" i="7" l="1"/>
  <c r="R13" i="7"/>
  <c r="S11" i="7" l="1"/>
  <c r="R12" i="7"/>
  <c r="S10" i="7" l="1"/>
  <c r="S9" i="7" s="1"/>
  <c r="R11" i="7"/>
  <c r="R10" i="7" l="1"/>
  <c r="S8" i="7" l="1"/>
  <c r="R9" i="7"/>
  <c r="S7" i="7" l="1"/>
  <c r="R8" i="7"/>
  <c r="S6" i="7" l="1"/>
  <c r="R6" i="7" s="1"/>
  <c r="F19" i="7" s="1"/>
  <c r="R7" i="7"/>
  <c r="F23" i="7" l="1"/>
  <c r="M14" i="16" s="1"/>
  <c r="G14" i="16"/>
  <c r="F21" i="7"/>
  <c r="G19" i="16" s="1"/>
  <c r="J7" i="16"/>
  <c r="R19" i="7"/>
  <c r="I20" i="15" s="1"/>
  <c r="O21" i="16" l="1"/>
  <c r="M11" i="16"/>
  <c r="G22" i="15"/>
  <c r="J20" i="15"/>
</calcChain>
</file>

<file path=xl/sharedStrings.xml><?xml version="1.0" encoding="utf-8"?>
<sst xmlns="http://schemas.openxmlformats.org/spreadsheetml/2006/main" count="90" uniqueCount="70">
  <si>
    <t>Gestantes</t>
  </si>
  <si>
    <t>Reemplazos</t>
  </si>
  <si>
    <t>Lactantes</t>
  </si>
  <si>
    <t>Vacias</t>
  </si>
  <si>
    <t>Total</t>
  </si>
  <si>
    <t>CERDAS ACTIVAS</t>
  </si>
  <si>
    <t>Ideal</t>
  </si>
  <si>
    <t>Real</t>
  </si>
  <si>
    <t>Tasa de parición</t>
  </si>
  <si>
    <t>Perdidas al nacimiento</t>
  </si>
  <si>
    <t>Gestación</t>
  </si>
  <si>
    <t>Semanas</t>
  </si>
  <si>
    <t>Lactancia</t>
  </si>
  <si>
    <t>Total Ciclo</t>
  </si>
  <si>
    <t>IDEAL</t>
  </si>
  <si>
    <t>REAL</t>
  </si>
  <si>
    <t>Cantidad</t>
  </si>
  <si>
    <t>%</t>
  </si>
  <si>
    <t>Categoria</t>
  </si>
  <si>
    <t>DISTRIBUCIÓN</t>
  </si>
  <si>
    <t>I.D.S</t>
  </si>
  <si>
    <t>Días</t>
  </si>
  <si>
    <t>Etapa</t>
  </si>
  <si>
    <t>Meta de servicios</t>
  </si>
  <si>
    <t>Partos semana</t>
  </si>
  <si>
    <t>Media Nacidos Totales</t>
  </si>
  <si>
    <t>Media Nacidos Vivos</t>
  </si>
  <si>
    <t>REEMPLAZOS</t>
  </si>
  <si>
    <t>GESTANTES</t>
  </si>
  <si>
    <t>LACTANTES</t>
  </si>
  <si>
    <t>VACIAS</t>
  </si>
  <si>
    <t>Media Navidos Vivos por mes</t>
  </si>
  <si>
    <t>%Mortalidad Pre Destete</t>
  </si>
  <si>
    <t>Media Destetados por mes</t>
  </si>
  <si>
    <t>Media Destetados por semana</t>
  </si>
  <si>
    <t>Dif</t>
  </si>
  <si>
    <t>Lote</t>
  </si>
  <si>
    <t>Sem</t>
  </si>
  <si>
    <t>Cerdos</t>
  </si>
  <si>
    <t>Viab</t>
  </si>
  <si>
    <t>RADIOGRAFIA DEL INVENTARIO REPRODUCTIVO</t>
  </si>
  <si>
    <t>INV. IDEAL</t>
  </si>
  <si>
    <t>INV. REAL</t>
  </si>
  <si>
    <t>Equilibrio de Inventario</t>
  </si>
  <si>
    <t xml:space="preserve">EQUILIBRIO REPRODUCTIVO </t>
  </si>
  <si>
    <t>RADIOGRAFIA DEL FLUJO PRODUCTIVO</t>
  </si>
  <si>
    <t>Eficiencia de Destete</t>
  </si>
  <si>
    <t>EFICIENCIA DE DESTETES</t>
  </si>
  <si>
    <t>INVENTARIO CRECIMIENTO</t>
  </si>
  <si>
    <t>INVENTARIO ENGORDE</t>
  </si>
  <si>
    <t>Inv Real</t>
  </si>
  <si>
    <t>Inv Ideal</t>
  </si>
  <si>
    <t>ALERTAS DEL FLUJO PRODUCTIVO</t>
  </si>
  <si>
    <t>CRECIMIENTO</t>
  </si>
  <si>
    <t>ENGORDE</t>
  </si>
  <si>
    <t>BRECHA DE POTENCIAL PRODUCTIVO</t>
  </si>
  <si>
    <t>POTENCIAL DE VENTAS MENSUAL</t>
  </si>
  <si>
    <t>CERDOS</t>
  </si>
  <si>
    <t>BRECHA PRODUCTIVA</t>
  </si>
  <si>
    <t>Eficiencia</t>
  </si>
  <si>
    <t>EFICIENCIA</t>
  </si>
  <si>
    <t>Potencial ventas mensual</t>
  </si>
  <si>
    <t>Ventas del mes</t>
  </si>
  <si>
    <t>Utilidad Estimada por cerdo</t>
  </si>
  <si>
    <t>USD</t>
  </si>
  <si>
    <t>Diferencia en utilidad mensual</t>
  </si>
  <si>
    <t>VENTAS IDEAL vs REAL</t>
  </si>
  <si>
    <t>RADIOGRADIA REPRODUCTIVA</t>
  </si>
  <si>
    <t>CONFIGURACIÓN PRODUCTIVA</t>
  </si>
  <si>
    <t>Ingreso tus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</si>
</sst>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"/>
    <numFmt numFmtId="166" formatCode="_-[$$-540A]* #,##0.00_ ;_-[$$-540A]* \-#,##0.00\ ;_-[$$-540A]* &quot;-&quot;??_ ;_-@_ "/>
    <numFmt numFmtId="177" formatCode="_-[$$-80A]* #,##0_-;\-[$$-80A]* #,##0_-;_-[$$-80A]* &quot;-&quot;??_-;_-@_-"/>
  </numFmts>
  <fonts count="5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0" tint="-4.9989318521683403E-2"/>
      <name val="Aptos Narrow"/>
      <scheme val="minor"/>
    </font>
    <font>
      <b/>
      <sz val="14"/>
      <color theme="0" tint="-4.9989318521683403E-2"/>
      <name val="Aptos Narrow"/>
      <scheme val="minor"/>
    </font>
    <font>
      <sz val="12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38"/>
      <color theme="0"/>
      <name val="Impact"/>
      <family val="2"/>
    </font>
    <font>
      <b/>
      <sz val="16"/>
      <color theme="6" tint="0.39997558519241921"/>
      <name val="Aptos Narrow"/>
      <family val="2"/>
      <scheme val="minor"/>
    </font>
    <font>
      <b/>
      <sz val="22"/>
      <color theme="0" tint="-4.9989318521683403E-2"/>
      <name val="Impact"/>
      <family val="2"/>
    </font>
    <font>
      <b/>
      <sz val="16"/>
      <color theme="6" tint="-0.499984740745262"/>
      <name val="Aptos Narrow"/>
      <family val="2"/>
      <scheme val="minor"/>
    </font>
    <font>
      <sz val="72"/>
      <color theme="6" tint="-0.499984740745262"/>
      <name val="Impact"/>
      <family val="2"/>
    </font>
    <font>
      <sz val="48"/>
      <color theme="5" tint="-0.499984740745262"/>
      <name val="Impact"/>
      <family val="2"/>
    </font>
    <font>
      <b/>
      <sz val="48"/>
      <color theme="6" tint="-0.499984740745262"/>
      <name val="Impact"/>
      <family val="2"/>
    </font>
    <font>
      <b/>
      <sz val="14"/>
      <color theme="6" tint="0.59999389629810485"/>
      <name val="Aptos Narrow"/>
      <family val="2"/>
      <scheme val="minor"/>
    </font>
    <font>
      <b/>
      <sz val="42"/>
      <color theme="9" tint="0.59999389629810485"/>
      <name val="Aptos Narrow"/>
      <family val="2"/>
      <scheme val="minor"/>
    </font>
    <font>
      <b/>
      <sz val="12"/>
      <color theme="3" tint="-0.24997711111789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i/>
      <sz val="18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6"/>
      <color theme="0"/>
      <name val="Aptos Narrow"/>
      <scheme val="minor"/>
    </font>
    <font>
      <b/>
      <sz val="28"/>
      <color theme="6" tint="-0.499984740745262"/>
      <name val="Impact"/>
      <family val="2"/>
    </font>
    <font>
      <b/>
      <sz val="26"/>
      <color theme="6" tint="-0.499984740745262"/>
      <name val="Impact"/>
      <family val="2"/>
    </font>
    <font>
      <b/>
      <sz val="24"/>
      <color theme="9" tint="-0.499984740745262"/>
      <name val="Aptos Narrow"/>
      <scheme val="minor"/>
    </font>
    <font>
      <b/>
      <sz val="24"/>
      <color theme="5" tint="-0.249977111117893"/>
      <name val="Aptos Narrow"/>
      <scheme val="minor"/>
    </font>
    <font>
      <b/>
      <sz val="24"/>
      <color rgb="FFC00000"/>
      <name val="Aptos Narrow"/>
      <scheme val="minor"/>
    </font>
    <font>
      <sz val="11"/>
      <color theme="3" tint="-0.249977111117893"/>
      <name val="Aptos Narrow"/>
      <scheme val="minor"/>
    </font>
    <font>
      <sz val="28"/>
      <color theme="1"/>
      <name val="Impact"/>
      <family val="2"/>
    </font>
    <font>
      <sz val="36"/>
      <color theme="4" tint="-0.249977111117893"/>
      <name val="Impact"/>
      <family val="2"/>
    </font>
    <font>
      <b/>
      <sz val="48"/>
      <color rgb="FFC00000"/>
      <name val="Impact"/>
      <family val="2"/>
    </font>
    <font>
      <sz val="40"/>
      <color theme="1"/>
      <name val="Aptos Narrow"/>
      <family val="2"/>
      <scheme val="minor"/>
    </font>
    <font>
      <sz val="24"/>
      <color theme="1" tint="0.34998626667073579"/>
      <name val="Impact"/>
      <family val="2"/>
    </font>
    <font>
      <b/>
      <sz val="24"/>
      <color theme="1" tint="0.34998626667073579"/>
      <name val="Impact"/>
      <family val="2"/>
    </font>
    <font>
      <sz val="22"/>
      <color theme="1" tint="0.34998626667073579"/>
      <name val="Impact"/>
      <family val="2"/>
    </font>
    <font>
      <b/>
      <sz val="22"/>
      <color theme="1" tint="0.34998626667073579"/>
      <name val="Impact"/>
      <family val="2"/>
    </font>
    <font>
      <sz val="11"/>
      <color theme="1" tint="0.34998626667073579"/>
      <name val="Aptos Display"/>
      <scheme val="major"/>
    </font>
    <font>
      <b/>
      <sz val="18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4"/>
      <color theme="0"/>
      <name val="Aptos Narrow"/>
      <scheme val="minor"/>
    </font>
    <font>
      <sz val="38"/>
      <color theme="4" tint="-0.249977111117893"/>
      <name val="Impact"/>
      <family val="2"/>
    </font>
    <font>
      <sz val="38"/>
      <color theme="1"/>
      <name val="Impact"/>
      <family val="2"/>
    </font>
    <font>
      <b/>
      <sz val="28"/>
      <color theme="0"/>
      <name val="Aptos Narrow"/>
      <family val="2"/>
      <scheme val="minor"/>
    </font>
    <font>
      <sz val="60"/>
      <color theme="9" tint="-0.499984740745262"/>
      <name val="Impact"/>
      <family val="2"/>
    </font>
    <font>
      <sz val="60"/>
      <color rgb="FFC00000"/>
      <name val="Impact"/>
      <family val="2"/>
    </font>
    <font>
      <sz val="48"/>
      <color theme="7" tint="-0.249977111117893"/>
      <name val="Impact"/>
      <family val="2"/>
    </font>
    <font>
      <b/>
      <sz val="14"/>
      <color theme="7" tint="-0.249977111117893"/>
      <name val="Aptos Narrow"/>
      <family val="2"/>
      <scheme val="minor"/>
    </font>
    <font>
      <b/>
      <sz val="42"/>
      <color theme="7" tint="-0.249977111117893"/>
      <name val="Aptos Narrow"/>
      <family val="2"/>
      <scheme val="minor"/>
    </font>
    <font>
      <b/>
      <sz val="35"/>
      <color theme="7" tint="-0.249977111117893"/>
      <name val="Impact"/>
      <family val="2"/>
    </font>
    <font>
      <sz val="48"/>
      <color theme="9" tint="-0.499984740745262"/>
      <name val="Impact"/>
      <family val="2"/>
    </font>
    <font>
      <b/>
      <sz val="14"/>
      <color theme="1"/>
      <name val="Aptos Narrow"/>
      <scheme val="minor"/>
    </font>
    <font>
      <sz val="30"/>
      <color theme="1"/>
      <name val="Impact"/>
      <family val="2"/>
    </font>
    <font>
      <b/>
      <sz val="22"/>
      <color theme="0"/>
      <name val="Aptos Narrow"/>
      <scheme val="minor"/>
    </font>
    <font>
      <b/>
      <sz val="72"/>
      <color rgb="FFC00000"/>
      <name val="Aptos Narrow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18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/>
    <xf numFmtId="9" fontId="0" fillId="0" borderId="1" xfId="1" applyFon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9" fontId="2" fillId="4" borderId="1" xfId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9" fontId="2" fillId="4" borderId="1" xfId="1" applyFont="1" applyFill="1" applyBorder="1" applyAlignment="1">
      <alignment horizontal="left"/>
    </xf>
    <xf numFmtId="0" fontId="0" fillId="0" borderId="3" xfId="0" applyBorder="1"/>
    <xf numFmtId="1" fontId="0" fillId="0" borderId="1" xfId="1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5" borderId="1" xfId="0" applyFont="1" applyFill="1" applyBorder="1"/>
    <xf numFmtId="1" fontId="2" fillId="5" borderId="1" xfId="0" applyNumberFormat="1" applyFont="1" applyFill="1" applyBorder="1" applyAlignment="1">
      <alignment horizontal="center"/>
    </xf>
    <xf numFmtId="9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9" fontId="2" fillId="5" borderId="1" xfId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vertical="center"/>
    </xf>
    <xf numFmtId="0" fontId="2" fillId="0" borderId="0" xfId="0" applyFont="1"/>
    <xf numFmtId="1" fontId="0" fillId="0" borderId="0" xfId="0" applyNumberFormat="1" applyAlignment="1">
      <alignment horizontal="center"/>
    </xf>
    <xf numFmtId="3" fontId="5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9" fontId="0" fillId="0" borderId="1" xfId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165" fontId="0" fillId="0" borderId="1" xfId="1" applyNumberFormat="1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/>
    <xf numFmtId="0" fontId="6" fillId="3" borderId="0" xfId="2" applyFill="1"/>
    <xf numFmtId="0" fontId="6" fillId="0" borderId="0" xfId="2"/>
    <xf numFmtId="0" fontId="6" fillId="9" borderId="0" xfId="2" applyFill="1"/>
    <xf numFmtId="0" fontId="6" fillId="9" borderId="0" xfId="2" applyFill="1" applyAlignment="1">
      <alignment horizontal="center"/>
    </xf>
    <xf numFmtId="0" fontId="6" fillId="4" borderId="0" xfId="2" applyFill="1"/>
    <xf numFmtId="0" fontId="6" fillId="4" borderId="0" xfId="2" applyFill="1" applyAlignment="1">
      <alignment vertical="center"/>
    </xf>
    <xf numFmtId="0" fontId="18" fillId="9" borderId="0" xfId="2" applyFont="1" applyFill="1" applyAlignment="1">
      <alignment vertical="center" wrapText="1"/>
    </xf>
    <xf numFmtId="0" fontId="19" fillId="9" borderId="0" xfId="2" applyFont="1" applyFill="1" applyAlignment="1">
      <alignment vertical="center" wrapText="1"/>
    </xf>
    <xf numFmtId="0" fontId="10" fillId="0" borderId="0" xfId="2" applyFont="1"/>
    <xf numFmtId="0" fontId="13" fillId="0" borderId="0" xfId="2" applyFont="1" applyAlignment="1">
      <alignment vertical="center"/>
    </xf>
    <xf numFmtId="0" fontId="11" fillId="4" borderId="0" xfId="2" applyFont="1" applyFill="1" applyAlignment="1">
      <alignment vertical="center"/>
    </xf>
    <xf numFmtId="0" fontId="9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6" fillId="0" borderId="0" xfId="2" applyAlignment="1">
      <alignment vertical="center"/>
    </xf>
    <xf numFmtId="0" fontId="17" fillId="0" borderId="0" xfId="2" applyFont="1"/>
    <xf numFmtId="0" fontId="16" fillId="0" borderId="0" xfId="2" applyFont="1" applyAlignment="1">
      <alignment vertical="center"/>
    </xf>
    <xf numFmtId="0" fontId="10" fillId="4" borderId="0" xfId="2" applyFont="1" applyFill="1"/>
    <xf numFmtId="0" fontId="13" fillId="4" borderId="0" xfId="2" applyFont="1" applyFill="1" applyAlignment="1">
      <alignment vertical="center"/>
    </xf>
    <xf numFmtId="0" fontId="9" fillId="4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15" fillId="4" borderId="0" xfId="2" applyFont="1" applyFill="1" applyAlignment="1">
      <alignment vertical="center"/>
    </xf>
    <xf numFmtId="3" fontId="12" fillId="4" borderId="0" xfId="2" applyNumberFormat="1" applyFont="1" applyFill="1" applyAlignment="1">
      <alignment vertical="center"/>
    </xf>
    <xf numFmtId="0" fontId="13" fillId="4" borderId="0" xfId="2" applyFont="1" applyFill="1" applyAlignment="1">
      <alignment horizontal="center" vertical="center"/>
    </xf>
    <xf numFmtId="0" fontId="24" fillId="4" borderId="0" xfId="2" applyFont="1" applyFill="1" applyAlignment="1">
      <alignment horizontal="center" vertical="center"/>
    </xf>
    <xf numFmtId="0" fontId="25" fillId="4" borderId="0" xfId="2" applyFont="1" applyFill="1" applyAlignment="1">
      <alignment horizontal="center" vertical="center"/>
    </xf>
    <xf numFmtId="0" fontId="26" fillId="4" borderId="0" xfId="2" applyFont="1" applyFill="1" applyAlignment="1">
      <alignment horizontal="center" vertical="center"/>
    </xf>
    <xf numFmtId="0" fontId="23" fillId="4" borderId="0" xfId="2" applyFont="1" applyFill="1" applyAlignment="1">
      <alignment horizontal="center" vertical="top"/>
    </xf>
    <xf numFmtId="0" fontId="6" fillId="4" borderId="0" xfId="2" applyFill="1" applyAlignment="1">
      <alignment vertical="center" wrapText="1"/>
    </xf>
    <xf numFmtId="0" fontId="20" fillId="4" borderId="0" xfId="2" applyFont="1" applyFill="1" applyAlignment="1">
      <alignment horizontal="center" vertical="center"/>
    </xf>
    <xf numFmtId="0" fontId="21" fillId="4" borderId="0" xfId="2" applyFont="1" applyFill="1" applyAlignment="1">
      <alignment horizontal="center" vertical="center"/>
    </xf>
    <xf numFmtId="164" fontId="2" fillId="0" borderId="1" xfId="1" applyNumberFormat="1" applyFont="1" applyBorder="1" applyAlignment="1">
      <alignment horizontal="center"/>
    </xf>
    <xf numFmtId="0" fontId="26" fillId="4" borderId="0" xfId="2" applyFont="1" applyFill="1" applyAlignment="1">
      <alignment vertical="center"/>
    </xf>
    <xf numFmtId="0" fontId="22" fillId="4" borderId="0" xfId="2" applyFont="1" applyFill="1" applyAlignment="1">
      <alignment vertical="top"/>
    </xf>
    <xf numFmtId="0" fontId="27" fillId="4" borderId="0" xfId="2" applyFont="1" applyFill="1" applyAlignment="1">
      <alignment vertical="center" wrapText="1"/>
    </xf>
    <xf numFmtId="0" fontId="24" fillId="4" borderId="0" xfId="2" applyFont="1" applyFill="1" applyAlignment="1">
      <alignment vertical="center"/>
    </xf>
    <xf numFmtId="0" fontId="23" fillId="4" borderId="0" xfId="2" applyFont="1" applyFill="1" applyAlignment="1">
      <alignment vertical="top"/>
    </xf>
    <xf numFmtId="0" fontId="32" fillId="4" borderId="0" xfId="2" applyFont="1" applyFill="1" applyAlignment="1">
      <alignment vertical="center"/>
    </xf>
    <xf numFmtId="9" fontId="32" fillId="4" borderId="0" xfId="1" applyFont="1" applyFill="1" applyAlignment="1">
      <alignment vertical="center"/>
    </xf>
    <xf numFmtId="9" fontId="33" fillId="4" borderId="0" xfId="2" applyNumberFormat="1" applyFont="1" applyFill="1" applyAlignment="1">
      <alignment vertical="center"/>
    </xf>
    <xf numFmtId="0" fontId="33" fillId="4" borderId="0" xfId="2" applyFont="1" applyFill="1" applyAlignment="1">
      <alignment vertical="center"/>
    </xf>
    <xf numFmtId="0" fontId="21" fillId="0" borderId="0" xfId="2" applyFont="1" applyAlignment="1">
      <alignment vertical="center"/>
    </xf>
    <xf numFmtId="0" fontId="21" fillId="0" borderId="0" xfId="2" applyFont="1" applyAlignment="1">
      <alignment horizontal="center" vertical="center"/>
    </xf>
    <xf numFmtId="0" fontId="32" fillId="0" borderId="0" xfId="2" applyFont="1" applyAlignment="1">
      <alignment vertical="center"/>
    </xf>
    <xf numFmtId="0" fontId="25" fillId="0" borderId="0" xfId="2" applyFont="1" applyAlignment="1">
      <alignment vertical="center"/>
    </xf>
    <xf numFmtId="0" fontId="25" fillId="0" borderId="0" xfId="2" applyFont="1" applyAlignment="1">
      <alignment horizontal="center" vertical="center"/>
    </xf>
    <xf numFmtId="0" fontId="6" fillId="0" borderId="0" xfId="2" applyAlignment="1">
      <alignment vertical="center" wrapText="1"/>
    </xf>
    <xf numFmtId="0" fontId="27" fillId="0" borderId="0" xfId="2" applyFont="1" applyAlignment="1">
      <alignment vertical="center" wrapText="1"/>
    </xf>
    <xf numFmtId="0" fontId="2" fillId="0" borderId="0" xfId="0" applyFont="1" applyAlignment="1">
      <alignment wrapText="1"/>
    </xf>
    <xf numFmtId="9" fontId="32" fillId="0" borderId="0" xfId="1" applyFont="1" applyFill="1" applyAlignment="1">
      <alignment vertical="center"/>
    </xf>
    <xf numFmtId="9" fontId="33" fillId="0" borderId="0" xfId="2" applyNumberFormat="1" applyFont="1" applyAlignment="1">
      <alignment vertical="center"/>
    </xf>
    <xf numFmtId="0" fontId="33" fillId="0" borderId="0" xfId="2" applyFont="1" applyAlignment="1">
      <alignment vertical="center"/>
    </xf>
    <xf numFmtId="0" fontId="22" fillId="0" borderId="0" xfId="2" applyFont="1" applyAlignment="1">
      <alignment vertical="top"/>
    </xf>
    <xf numFmtId="0" fontId="13" fillId="0" borderId="0" xfId="2" applyFont="1" applyAlignment="1">
      <alignment horizontal="center" vertical="center"/>
    </xf>
    <xf numFmtId="0" fontId="36" fillId="4" borderId="0" xfId="2" applyFont="1" applyFill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31" fillId="0" borderId="0" xfId="2" applyFont="1"/>
    <xf numFmtId="0" fontId="2" fillId="0" borderId="1" xfId="0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46" fillId="4" borderId="0" xfId="2" applyFont="1" applyFill="1" applyAlignment="1">
      <alignment vertical="center"/>
    </xf>
    <xf numFmtId="0" fontId="47" fillId="4" borderId="0" xfId="2" applyFont="1" applyFill="1" applyAlignment="1">
      <alignment vertical="center"/>
    </xf>
    <xf numFmtId="165" fontId="50" fillId="0" borderId="1" xfId="0" applyNumberFormat="1" applyFont="1" applyBorder="1" applyAlignment="1">
      <alignment horizontal="center"/>
    </xf>
    <xf numFmtId="1" fontId="0" fillId="7" borderId="1" xfId="1" applyNumberFormat="1" applyFont="1" applyFill="1" applyBorder="1" applyAlignment="1" applyProtection="1">
      <alignment horizontal="center"/>
      <protection locked="0"/>
    </xf>
    <xf numFmtId="9" fontId="0" fillId="7" borderId="1" xfId="1" applyFont="1" applyFill="1" applyBorder="1" applyAlignment="1" applyProtection="1">
      <alignment horizontal="center"/>
      <protection locked="0"/>
    </xf>
    <xf numFmtId="1" fontId="0" fillId="7" borderId="1" xfId="0" applyNumberFormat="1" applyFill="1" applyBorder="1" applyAlignment="1" applyProtection="1">
      <alignment horizontal="center"/>
      <protection locked="0"/>
    </xf>
    <xf numFmtId="9" fontId="5" fillId="7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1" fontId="2" fillId="7" borderId="1" xfId="0" applyNumberFormat="1" applyFont="1" applyFill="1" applyBorder="1" applyAlignment="1" applyProtection="1">
      <alignment horizontal="center" vertical="center"/>
      <protection locked="0"/>
    </xf>
    <xf numFmtId="166" fontId="2" fillId="7" borderId="1" xfId="0" applyNumberFormat="1" applyFont="1" applyFill="1" applyBorder="1" applyAlignment="1" applyProtection="1">
      <alignment horizontal="center"/>
      <protection locked="0"/>
    </xf>
    <xf numFmtId="0" fontId="50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 vertical="center" textRotation="90"/>
    </xf>
    <xf numFmtId="0" fontId="2" fillId="4" borderId="5" xfId="0" applyFont="1" applyFill="1" applyBorder="1" applyAlignment="1">
      <alignment horizontal="center" vertical="center" textRotation="90"/>
    </xf>
    <xf numFmtId="0" fontId="2" fillId="4" borderId="6" xfId="0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2" fillId="8" borderId="2" xfId="0" applyFont="1" applyFill="1" applyBorder="1" applyAlignment="1">
      <alignment horizontal="left"/>
    </xf>
    <xf numFmtId="0" fontId="2" fillId="8" borderId="7" xfId="0" applyFont="1" applyFill="1" applyBorder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166" fontId="2" fillId="0" borderId="2" xfId="0" applyNumberFormat="1" applyFont="1" applyBorder="1" applyAlignment="1">
      <alignment horizontal="center" vertical="center"/>
    </xf>
    <xf numFmtId="166" fontId="2" fillId="0" borderId="7" xfId="0" applyNumberFormat="1" applyFont="1" applyBorder="1" applyAlignment="1">
      <alignment horizontal="center" vertical="center"/>
    </xf>
    <xf numFmtId="0" fontId="19" fillId="9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top"/>
    </xf>
    <xf numFmtId="0" fontId="32" fillId="4" borderId="0" xfId="2" applyFont="1" applyFill="1" applyAlignment="1">
      <alignment horizontal="center" vertical="center"/>
    </xf>
    <xf numFmtId="9" fontId="32" fillId="4" borderId="0" xfId="1" applyFont="1" applyFill="1" applyAlignment="1">
      <alignment horizontal="center" vertical="center"/>
    </xf>
    <xf numFmtId="9" fontId="33" fillId="4" borderId="0" xfId="2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0" fontId="24" fillId="4" borderId="0" xfId="2" applyFont="1" applyFill="1" applyAlignment="1">
      <alignment horizontal="center" vertical="center"/>
    </xf>
    <xf numFmtId="0" fontId="23" fillId="4" borderId="0" xfId="2" applyFont="1" applyFill="1" applyAlignment="1">
      <alignment horizontal="center" vertical="top"/>
    </xf>
    <xf numFmtId="0" fontId="6" fillId="4" borderId="0" xfId="2" applyFill="1" applyAlignment="1">
      <alignment horizontal="center" vertical="center" wrapText="1"/>
    </xf>
    <xf numFmtId="0" fontId="27" fillId="4" borderId="0" xfId="2" applyFont="1" applyFill="1" applyAlignment="1">
      <alignment horizontal="center" vertical="center" wrapText="1"/>
    </xf>
    <xf numFmtId="0" fontId="25" fillId="4" borderId="0" xfId="2" applyFont="1" applyFill="1" applyAlignment="1">
      <alignment horizontal="center" vertical="center"/>
    </xf>
    <xf numFmtId="0" fontId="26" fillId="4" borderId="0" xfId="2" applyFont="1" applyFill="1" applyAlignment="1">
      <alignment horizontal="center" vertical="center"/>
    </xf>
    <xf numFmtId="0" fontId="22" fillId="4" borderId="0" xfId="2" applyFont="1" applyFill="1" applyAlignment="1">
      <alignment horizontal="center" vertical="top"/>
    </xf>
    <xf numFmtId="0" fontId="29" fillId="0" borderId="0" xfId="2" applyFont="1" applyAlignment="1">
      <alignment horizontal="center" vertical="center"/>
    </xf>
    <xf numFmtId="0" fontId="28" fillId="0" borderId="0" xfId="2" applyFont="1" applyAlignment="1">
      <alignment horizontal="center" vertical="center"/>
    </xf>
    <xf numFmtId="0" fontId="31" fillId="0" borderId="0" xfId="2" applyFont="1" applyAlignment="1">
      <alignment horizontal="center"/>
    </xf>
    <xf numFmtId="0" fontId="20" fillId="3" borderId="0" xfId="2" applyFont="1" applyFill="1" applyAlignment="1">
      <alignment horizontal="center" vertical="center"/>
    </xf>
    <xf numFmtId="0" fontId="21" fillId="3" borderId="0" xfId="2" applyFont="1" applyFill="1" applyAlignment="1">
      <alignment horizontal="center" vertical="center"/>
    </xf>
    <xf numFmtId="0" fontId="38" fillId="3" borderId="0" xfId="2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0" fontId="36" fillId="4" borderId="0" xfId="2" applyFont="1" applyFill="1" applyAlignment="1">
      <alignment horizontal="center" vertical="center" wrapText="1"/>
    </xf>
    <xf numFmtId="164" fontId="29" fillId="0" borderId="0" xfId="1" applyNumberFormat="1" applyFont="1" applyFill="1" applyAlignment="1">
      <alignment horizontal="center" vertical="center"/>
    </xf>
    <xf numFmtId="0" fontId="37" fillId="3" borderId="0" xfId="2" applyFont="1" applyFill="1" applyAlignment="1">
      <alignment horizontal="center" vertical="center"/>
    </xf>
    <xf numFmtId="0" fontId="39" fillId="3" borderId="0" xfId="2" applyFont="1" applyFill="1" applyAlignment="1">
      <alignment horizontal="center" vertical="center"/>
    </xf>
    <xf numFmtId="0" fontId="24" fillId="4" borderId="0" xfId="2" applyFont="1" applyFill="1" applyAlignment="1">
      <alignment horizontal="center" vertical="top"/>
    </xf>
    <xf numFmtId="0" fontId="32" fillId="4" borderId="0" xfId="2" applyFont="1" applyFill="1" applyAlignment="1">
      <alignment horizontal="center"/>
    </xf>
    <xf numFmtId="0" fontId="40" fillId="0" borderId="0" xfId="2" applyFont="1" applyAlignment="1">
      <alignment horizontal="center" vertical="center"/>
    </xf>
    <xf numFmtId="9" fontId="45" fillId="4" borderId="0" xfId="1" applyFont="1" applyFill="1" applyAlignment="1">
      <alignment horizontal="center" vertical="center"/>
    </xf>
    <xf numFmtId="164" fontId="48" fillId="4" borderId="0" xfId="1" applyNumberFormat="1" applyFont="1" applyFill="1" applyAlignment="1">
      <alignment horizontal="left" vertical="center"/>
    </xf>
    <xf numFmtId="0" fontId="49" fillId="4" borderId="0" xfId="2" applyFont="1" applyFill="1" applyAlignment="1">
      <alignment horizontal="center" vertical="center"/>
    </xf>
    <xf numFmtId="1" fontId="41" fillId="0" borderId="0" xfId="2" applyNumberFormat="1" applyFont="1" applyAlignment="1">
      <alignment horizontal="center" vertical="center"/>
    </xf>
    <xf numFmtId="1" fontId="44" fillId="4" borderId="0" xfId="2" applyNumberFormat="1" applyFont="1" applyFill="1" applyAlignment="1">
      <alignment horizontal="center" vertical="center"/>
    </xf>
    <xf numFmtId="0" fontId="44" fillId="4" borderId="0" xfId="2" applyFont="1" applyFill="1" applyAlignment="1">
      <alignment horizontal="center" vertical="center"/>
    </xf>
    <xf numFmtId="164" fontId="30" fillId="4" borderId="0" xfId="1" applyNumberFormat="1" applyFont="1" applyFill="1" applyAlignment="1">
      <alignment horizontal="left" vertical="center"/>
    </xf>
    <xf numFmtId="0" fontId="42" fillId="3" borderId="0" xfId="2" applyFont="1" applyFill="1" applyAlignment="1">
      <alignment horizontal="center" vertical="center"/>
    </xf>
    <xf numFmtId="0" fontId="51" fillId="0" borderId="0" xfId="2" applyFont="1" applyAlignment="1">
      <alignment horizontal="center" vertical="center"/>
    </xf>
    <xf numFmtId="0" fontId="0" fillId="0" borderId="0" xfId="0" applyFill="1"/>
    <xf numFmtId="9" fontId="2" fillId="0" borderId="0" xfId="1" applyFont="1" applyFill="1" applyBorder="1" applyAlignment="1">
      <alignment horizontal="center"/>
    </xf>
    <xf numFmtId="164" fontId="0" fillId="0" borderId="0" xfId="1" applyNumberFormat="1" applyFont="1" applyFill="1" applyBorder="1" applyAlignment="1">
      <alignment horizontal="center"/>
    </xf>
    <xf numFmtId="9" fontId="0" fillId="0" borderId="0" xfId="1" applyFont="1" applyFill="1" applyBorder="1" applyAlignment="1">
      <alignment horizontal="center"/>
    </xf>
    <xf numFmtId="0" fontId="2" fillId="0" borderId="0" xfId="0" applyFont="1" applyFill="1" applyBorder="1"/>
    <xf numFmtId="0" fontId="0" fillId="0" borderId="0" xfId="0" applyFill="1" applyBorder="1"/>
    <xf numFmtId="1" fontId="0" fillId="0" borderId="7" xfId="0" applyNumberFormat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9" fontId="35" fillId="4" borderId="0" xfId="1" applyNumberFormat="1" applyFont="1" applyFill="1" applyAlignment="1">
      <alignment horizontal="center" vertical="center"/>
    </xf>
    <xf numFmtId="177" fontId="43" fillId="4" borderId="0" xfId="2" applyNumberFormat="1" applyFont="1" applyFill="1" applyAlignment="1">
      <alignment horizontal="center" vertical="center"/>
    </xf>
    <xf numFmtId="0" fontId="52" fillId="3" borderId="0" xfId="2" applyFont="1" applyFill="1" applyAlignment="1">
      <alignment horizontal="center" vertical="center"/>
    </xf>
    <xf numFmtId="177" fontId="53" fillId="4" borderId="0" xfId="2" applyNumberFormat="1" applyFont="1" applyFill="1" applyAlignment="1">
      <alignment horizontal="center" vertical="top"/>
    </xf>
    <xf numFmtId="0" fontId="53" fillId="4" borderId="0" xfId="2" applyFont="1" applyFill="1" applyAlignment="1">
      <alignment horizontal="center" vertical="top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2" fillId="7" borderId="1" xfId="0" applyFont="1" applyFill="1" applyBorder="1" applyAlignment="1">
      <alignment horizontal="center"/>
    </xf>
  </cellXfs>
  <cellStyles count="3">
    <cellStyle name="Normal" xfId="0" builtinId="0"/>
    <cellStyle name="Normal 2" xfId="2" xr:uid="{970BE778-DEAB-F24F-B061-A39E3A6D5006}"/>
    <cellStyle name="Porcentaje" xfId="1" builtinId="5"/>
  </cellStyles>
  <dxfs count="65">
    <dxf>
      <font>
        <b/>
        <i val="0"/>
        <color theme="9" tint="-0.499984740745262"/>
      </font>
    </dxf>
    <dxf>
      <font>
        <b/>
        <i val="0"/>
        <color rgb="FFC00000"/>
      </font>
    </dxf>
    <dxf>
      <font>
        <b/>
        <i/>
        <color theme="6" tint="-0.499984740745262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/>
        <color theme="6" tint="-0.499984740745262"/>
      </font>
    </dxf>
    <dxf>
      <font>
        <b/>
        <i/>
        <color theme="6" tint="-0.499984740745262"/>
      </font>
    </dxf>
    <dxf>
      <font>
        <b/>
        <i val="0"/>
        <color rgb="FFFFC000"/>
      </font>
    </dxf>
    <dxf>
      <font>
        <b/>
        <i/>
        <color theme="6" tint="-0.499984740745262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rgb="FFFFC000"/>
      </font>
    </dxf>
    <dxf>
      <font>
        <b/>
        <i val="0"/>
        <color rgb="FFC00000"/>
      </font>
    </dxf>
    <dxf>
      <font>
        <b/>
        <i val="0"/>
        <color theme="6" tint="-0.499984740745262"/>
      </font>
      <fill>
        <patternFill patternType="solid">
          <bgColor theme="0" tint="-0.14996795556505021"/>
        </patternFill>
      </fill>
    </dxf>
    <dxf>
      <font>
        <color rgb="FFFFFD78"/>
      </font>
      <fill>
        <patternFill>
          <bgColor theme="0" tint="-0.14996795556505021"/>
        </patternFill>
      </fill>
    </dxf>
    <dxf>
      <font>
        <color rgb="FFFF0000"/>
      </font>
      <fill>
        <patternFill>
          <bgColor theme="0" tint="-0.14996795556505021"/>
        </patternFill>
      </fill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/>
        <color theme="6" tint="-0.499984740745262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/>
        <color theme="6" tint="-0.499984740745262"/>
      </font>
    </dxf>
    <dxf>
      <font>
        <b/>
        <i val="0"/>
        <color theme="9" tint="-0.499984740745262"/>
      </font>
    </dxf>
    <dxf>
      <font>
        <b/>
        <i val="0"/>
        <color rgb="FFFFC000"/>
      </font>
    </dxf>
    <dxf>
      <font>
        <b/>
        <i val="0"/>
        <color rgb="FFC00000"/>
      </font>
    </dxf>
    <dxf>
      <font>
        <b/>
        <i/>
        <color theme="6" tint="-0.499984740745262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rgb="FFFFC000"/>
      </font>
    </dxf>
    <dxf>
      <font>
        <b/>
        <i val="0"/>
        <color rgb="FFC00000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 val="0"/>
        <color theme="6" tint="-0.499984740745262"/>
      </font>
      <fill>
        <patternFill patternType="solid">
          <bgColor theme="0" tint="-0.14996795556505021"/>
        </patternFill>
      </fill>
    </dxf>
    <dxf>
      <font>
        <color rgb="FFFFFD78"/>
      </font>
      <fill>
        <patternFill>
          <bgColor theme="0" tint="-0.14996795556505021"/>
        </patternFill>
      </fill>
    </dxf>
    <dxf>
      <font>
        <color rgb="FFFF0000"/>
      </font>
      <fill>
        <patternFill>
          <bgColor theme="0" tint="-0.14996795556505021"/>
        </patternFill>
      </fill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/>
        <color theme="6" tint="-0.499984740745262"/>
      </font>
    </dxf>
    <dxf>
      <font>
        <b/>
        <i val="0"/>
        <color theme="9" tint="-0.499984740745262"/>
      </font>
    </dxf>
    <dxf>
      <font>
        <b/>
        <i val="0"/>
        <color theme="5" tint="-0.24994659260841701"/>
      </font>
    </dxf>
    <dxf>
      <font>
        <b/>
        <i val="0"/>
        <color rgb="FFC00000"/>
      </font>
    </dxf>
    <dxf>
      <font>
        <b/>
        <i/>
        <color theme="6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1">
                      <a:lumMod val="40000"/>
                      <a:lumOff val="60000"/>
                    </a:schemeClr>
                  </a:gs>
                  <a:gs pos="46000">
                    <a:schemeClr val="accent1">
                      <a:lumMod val="95000"/>
                      <a:lumOff val="5000"/>
                    </a:schemeClr>
                  </a:gs>
                  <a:gs pos="100000">
                    <a:schemeClr val="accent1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9DA-FD49-AFDD-758EE31C7320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46000">
                    <a:schemeClr val="accent2">
                      <a:lumMod val="95000"/>
                      <a:lumOff val="5000"/>
                    </a:schemeClr>
                  </a:gs>
                  <a:gs pos="100000">
                    <a:schemeClr val="accent2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09DA-FD49-AFDD-758EE31C732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'Configuracion Productiva'!$J$12:$K$13</c:f>
              <c:strCache>
                <c:ptCount val="2"/>
                <c:pt idx="0">
                  <c:v>Inv Ideal</c:v>
                </c:pt>
                <c:pt idx="1">
                  <c:v>Inv Real</c:v>
                </c:pt>
              </c:strCache>
            </c:strRef>
          </c:cat>
          <c:val>
            <c:numRef>
              <c:f>'Configuracion Productiva'!$L$12:$L$13</c:f>
              <c:numCache>
                <c:formatCode>General</c:formatCode>
                <c:ptCount val="2"/>
                <c:pt idx="0" formatCode="0">
                  <c:v>933.78</c:v>
                </c:pt>
                <c:pt idx="1">
                  <c:v>934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DA-FD49-AFDD-758EE31C732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85004928"/>
        <c:axId val="2099477824"/>
      </c:barChart>
      <c:catAx>
        <c:axId val="2085004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99477824"/>
        <c:crosses val="autoZero"/>
        <c:auto val="1"/>
        <c:lblAlgn val="ctr"/>
        <c:lblOffset val="100"/>
        <c:noMultiLvlLbl val="0"/>
      </c:catAx>
      <c:valAx>
        <c:axId val="20994778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85004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984673960495781"/>
          <c:y val="0.10317143553463007"/>
          <c:w val="0.79015326039504219"/>
          <c:h val="0.762941337045695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1">
                      <a:lumMod val="40000"/>
                      <a:lumOff val="60000"/>
                    </a:schemeClr>
                  </a:gs>
                  <a:gs pos="46000">
                    <a:schemeClr val="accent1">
                      <a:lumMod val="95000"/>
                      <a:lumOff val="5000"/>
                    </a:schemeClr>
                  </a:gs>
                  <a:gs pos="100000">
                    <a:schemeClr val="accent1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3-2D4E-9828-BBA5ACEC1F7C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46000">
                    <a:schemeClr val="accent2">
                      <a:lumMod val="95000"/>
                      <a:lumOff val="5000"/>
                    </a:schemeClr>
                  </a:gs>
                  <a:gs pos="100000">
                    <a:schemeClr val="accent2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3-2D4E-9828-BBA5ACEC1F7C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'Configuracion Productiva'!$P$19:$Q$20</c:f>
              <c:strCache>
                <c:ptCount val="2"/>
                <c:pt idx="0">
                  <c:v>Inv Ideal</c:v>
                </c:pt>
                <c:pt idx="1">
                  <c:v>Inv Real</c:v>
                </c:pt>
              </c:strCache>
            </c:strRef>
          </c:cat>
          <c:val>
            <c:numRef>
              <c:f>'Configuracion Productiva'!$R$19:$R$20</c:f>
              <c:numCache>
                <c:formatCode>General</c:formatCode>
                <c:ptCount val="2"/>
                <c:pt idx="0">
                  <c:v>1956.04</c:v>
                </c:pt>
                <c:pt idx="1">
                  <c:v>1956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4F3-2D4E-9828-BBA5ACEC1F7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85004928"/>
        <c:axId val="2099477824"/>
      </c:barChart>
      <c:catAx>
        <c:axId val="2085004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99477824"/>
        <c:crosses val="autoZero"/>
        <c:auto val="1"/>
        <c:lblAlgn val="ctr"/>
        <c:lblOffset val="100"/>
        <c:noMultiLvlLbl val="0"/>
      </c:catAx>
      <c:valAx>
        <c:axId val="20994778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85004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1">
                      <a:lumMod val="40000"/>
                      <a:lumOff val="60000"/>
                    </a:schemeClr>
                  </a:gs>
                  <a:gs pos="46000">
                    <a:schemeClr val="accent1">
                      <a:lumMod val="95000"/>
                      <a:lumOff val="5000"/>
                    </a:schemeClr>
                  </a:gs>
                  <a:gs pos="100000">
                    <a:schemeClr val="accent1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610-634C-ADB6-EA93C29CC840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46000">
                    <a:schemeClr val="accent2">
                      <a:lumMod val="95000"/>
                      <a:lumOff val="5000"/>
                    </a:schemeClr>
                  </a:gs>
                  <a:gs pos="100000">
                    <a:schemeClr val="accent2">
                      <a:lumMod val="60000"/>
                    </a:schemeClr>
                  </a:gs>
                </a:gsLst>
                <a:path path="circle">
                  <a:fillToRect l="50000" t="130000" r="50000" b="-30000"/>
                </a:path>
                <a:tileRect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610-634C-ADB6-EA93C29CC84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'Configuracion Productiva'!$G$19:$G$20</c:f>
              <c:strCache>
                <c:ptCount val="2"/>
                <c:pt idx="0">
                  <c:v>Ideal</c:v>
                </c:pt>
                <c:pt idx="1">
                  <c:v>Real</c:v>
                </c:pt>
              </c:strCache>
            </c:strRef>
          </c:cat>
          <c:val>
            <c:numRef>
              <c:f>'Configuracion Productiva'!$F$19:$F$20</c:f>
              <c:numCache>
                <c:formatCode>0</c:formatCode>
                <c:ptCount val="2"/>
                <c:pt idx="0">
                  <c:v>644</c:v>
                </c:pt>
                <c:pt idx="1">
                  <c:v>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610-634C-ADB6-EA93C29CC84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85004928"/>
        <c:axId val="2099477824"/>
      </c:barChart>
      <c:catAx>
        <c:axId val="2085004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99477824"/>
        <c:crosses val="autoZero"/>
        <c:auto val="1"/>
        <c:lblAlgn val="ctr"/>
        <c:lblOffset val="100"/>
        <c:noMultiLvlLbl val="0"/>
      </c:catAx>
      <c:valAx>
        <c:axId val="20994778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85004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svg"/><Relationship Id="rId13" Type="http://schemas.openxmlformats.org/officeDocument/2006/relationships/image" Target="../media/image10.png"/><Relationship Id="rId3" Type="http://schemas.openxmlformats.org/officeDocument/2006/relationships/image" Target="../media/image2.svg"/><Relationship Id="rId7" Type="http://schemas.openxmlformats.org/officeDocument/2006/relationships/image" Target="../media/image5.png"/><Relationship Id="rId12" Type="http://schemas.openxmlformats.org/officeDocument/2006/relationships/image" Target="../media/image9.png"/><Relationship Id="rId2" Type="http://schemas.openxmlformats.org/officeDocument/2006/relationships/image" Target="../media/image1.png"/><Relationship Id="rId16" Type="http://schemas.openxmlformats.org/officeDocument/2006/relationships/image" Target="../media/image12.svg"/><Relationship Id="rId1" Type="http://schemas.openxmlformats.org/officeDocument/2006/relationships/hyperlink" Target="#'Rad Flujo Productivo'!A1"/><Relationship Id="rId6" Type="http://schemas.openxmlformats.org/officeDocument/2006/relationships/image" Target="../media/image4.svg"/><Relationship Id="rId11" Type="http://schemas.openxmlformats.org/officeDocument/2006/relationships/image" Target="../media/image8.svg"/><Relationship Id="rId5" Type="http://schemas.openxmlformats.org/officeDocument/2006/relationships/image" Target="../media/image3.png"/><Relationship Id="rId15" Type="http://schemas.openxmlformats.org/officeDocument/2006/relationships/image" Target="../media/image11.png"/><Relationship Id="rId10" Type="http://schemas.openxmlformats.org/officeDocument/2006/relationships/image" Target="../media/image7.png"/><Relationship Id="rId4" Type="http://schemas.openxmlformats.org/officeDocument/2006/relationships/hyperlink" Target="#'Rad Inv Reproductivo'!A1"/><Relationship Id="rId9" Type="http://schemas.openxmlformats.org/officeDocument/2006/relationships/hyperlink" Target="#'Brecha Potencial Productivo'!A1"/><Relationship Id="rId14" Type="http://schemas.openxmlformats.org/officeDocument/2006/relationships/hyperlink" Target="#'Configuracion Productiva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svg"/><Relationship Id="rId13" Type="http://schemas.openxmlformats.org/officeDocument/2006/relationships/image" Target="../media/image4.svg"/><Relationship Id="rId18" Type="http://schemas.openxmlformats.org/officeDocument/2006/relationships/image" Target="../media/image7.png"/><Relationship Id="rId3" Type="http://schemas.openxmlformats.org/officeDocument/2006/relationships/image" Target="../media/image15.png"/><Relationship Id="rId21" Type="http://schemas.openxmlformats.org/officeDocument/2006/relationships/image" Target="../media/image10.png"/><Relationship Id="rId7" Type="http://schemas.openxmlformats.org/officeDocument/2006/relationships/image" Target="../media/image19.svg"/><Relationship Id="rId12" Type="http://schemas.openxmlformats.org/officeDocument/2006/relationships/image" Target="../media/image3.png"/><Relationship Id="rId17" Type="http://schemas.openxmlformats.org/officeDocument/2006/relationships/hyperlink" Target="#'Brecha Potencial Productivo'!A1"/><Relationship Id="rId2" Type="http://schemas.openxmlformats.org/officeDocument/2006/relationships/image" Target="../media/image14.svg"/><Relationship Id="rId16" Type="http://schemas.openxmlformats.org/officeDocument/2006/relationships/image" Target="../media/image6.svg"/><Relationship Id="rId20" Type="http://schemas.openxmlformats.org/officeDocument/2006/relationships/image" Target="../media/image22.png"/><Relationship Id="rId1" Type="http://schemas.openxmlformats.org/officeDocument/2006/relationships/image" Target="../media/image13.png"/><Relationship Id="rId6" Type="http://schemas.openxmlformats.org/officeDocument/2006/relationships/image" Target="../media/image18.png"/><Relationship Id="rId11" Type="http://schemas.openxmlformats.org/officeDocument/2006/relationships/hyperlink" Target="#'Rad Inv Reproductivo'!A1"/><Relationship Id="rId5" Type="http://schemas.openxmlformats.org/officeDocument/2006/relationships/image" Target="../media/image17.svg"/><Relationship Id="rId15" Type="http://schemas.openxmlformats.org/officeDocument/2006/relationships/image" Target="../media/image5.png"/><Relationship Id="rId10" Type="http://schemas.openxmlformats.org/officeDocument/2006/relationships/hyperlink" Target="#Inicio!A1"/><Relationship Id="rId19" Type="http://schemas.openxmlformats.org/officeDocument/2006/relationships/image" Target="../media/image8.svg"/><Relationship Id="rId4" Type="http://schemas.openxmlformats.org/officeDocument/2006/relationships/image" Target="../media/image16.svg"/><Relationship Id="rId9" Type="http://schemas.openxmlformats.org/officeDocument/2006/relationships/image" Target="../media/image21.svg"/><Relationship Id="rId14" Type="http://schemas.openxmlformats.org/officeDocument/2006/relationships/hyperlink" Target="#'Rad Flujo Productivo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png"/><Relationship Id="rId1" Type="http://schemas.openxmlformats.org/officeDocument/2006/relationships/hyperlink" Target="#Inicio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hyperlink" Target="#Inicio!A1"/><Relationship Id="rId4" Type="http://schemas.openxmlformats.org/officeDocument/2006/relationships/image" Target="../media/image2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png"/><Relationship Id="rId2" Type="http://schemas.openxmlformats.org/officeDocument/2006/relationships/chart" Target="../charts/chart3.xml"/><Relationship Id="rId1" Type="http://schemas.openxmlformats.org/officeDocument/2006/relationships/hyperlink" Target="#Inici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7471</xdr:rowOff>
    </xdr:from>
    <xdr:to>
      <xdr:col>2</xdr:col>
      <xdr:colOff>519124</xdr:colOff>
      <xdr:row>22</xdr:row>
      <xdr:rowOff>7471</xdr:rowOff>
    </xdr:to>
    <xdr:sp macro="" textlink="">
      <xdr:nvSpPr>
        <xdr:cNvPr id="7" name="Rectángulo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0B9EC6D-05B6-7530-8C38-A1D442B92C84}"/>
            </a:ext>
          </a:extLst>
        </xdr:cNvPr>
        <xdr:cNvSpPr/>
      </xdr:nvSpPr>
      <xdr:spPr>
        <a:xfrm>
          <a:off x="0" y="7471"/>
          <a:ext cx="2177595" cy="4751294"/>
        </a:xfrm>
        <a:prstGeom prst="rect">
          <a:avLst/>
        </a:prstGeom>
        <a:gradFill>
          <a:gsLst>
            <a:gs pos="0">
              <a:schemeClr val="accent5">
                <a:lumMod val="75000"/>
              </a:schemeClr>
            </a:gs>
            <a:gs pos="100000">
              <a:schemeClr val="accent4">
                <a:lumMod val="75000"/>
              </a:schemeClr>
            </a:gs>
          </a:gsLst>
          <a:lin ang="5400000" scaled="1"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65763</xdr:colOff>
      <xdr:row>0</xdr:row>
      <xdr:rowOff>89647</xdr:rowOff>
    </xdr:from>
    <xdr:to>
      <xdr:col>2</xdr:col>
      <xdr:colOff>529262</xdr:colOff>
      <xdr:row>3</xdr:row>
      <xdr:rowOff>7635</xdr:rowOff>
    </xdr:to>
    <xdr:sp macro="" textlink="">
      <xdr:nvSpPr>
        <xdr:cNvPr id="22" name="Rectángulo redondeado 21">
          <a:extLst>
            <a:ext uri="{FF2B5EF4-FFF2-40B4-BE49-F238E27FC236}">
              <a16:creationId xmlns:a16="http://schemas.microsoft.com/office/drawing/2014/main" id="{C44EDBC4-4BF5-23D6-AD9F-4EA3306E5254}"/>
            </a:ext>
          </a:extLst>
        </xdr:cNvPr>
        <xdr:cNvSpPr/>
      </xdr:nvSpPr>
      <xdr:spPr>
        <a:xfrm>
          <a:off x="65763" y="89647"/>
          <a:ext cx="2121970" cy="560459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  <a:effectLst>
          <a:outerShdw blurRad="50800" dist="38100" dir="2700000" algn="tl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509853</xdr:colOff>
      <xdr:row>0</xdr:row>
      <xdr:rowOff>145678</xdr:rowOff>
    </xdr:from>
    <xdr:to>
      <xdr:col>2</xdr:col>
      <xdr:colOff>509853</xdr:colOff>
      <xdr:row>2</xdr:row>
      <xdr:rowOff>178409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C6E2291-DB33-4477-60AE-60DA87E93121}"/>
            </a:ext>
          </a:extLst>
        </xdr:cNvPr>
        <xdr:cNvSpPr txBox="1"/>
      </xdr:nvSpPr>
      <xdr:spPr>
        <a:xfrm>
          <a:off x="509853" y="145678"/>
          <a:ext cx="1646034" cy="479714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400" b="1">
              <a:solidFill>
                <a:schemeClr val="tx1"/>
              </a:solidFill>
              <a:latin typeface="Abadi" panose="020B0604020104020204" pitchFamily="34" charset="77"/>
            </a:rPr>
            <a:t>INICIO</a:t>
          </a:r>
          <a:endParaRPr lang="es-MX" sz="1050" b="1">
            <a:solidFill>
              <a:schemeClr val="tx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176131</xdr:colOff>
      <xdr:row>0</xdr:row>
      <xdr:rowOff>193168</xdr:rowOff>
    </xdr:from>
    <xdr:to>
      <xdr:col>0</xdr:col>
      <xdr:colOff>541891</xdr:colOff>
      <xdr:row>2</xdr:row>
      <xdr:rowOff>113758</xdr:rowOff>
    </xdr:to>
    <xdr:pic>
      <xdr:nvPicPr>
        <xdr:cNvPr id="15" name="Gráfico 14" descr="Home con relleno sólido">
          <a:extLst>
            <a:ext uri="{FF2B5EF4-FFF2-40B4-BE49-F238E27FC236}">
              <a16:creationId xmlns:a16="http://schemas.microsoft.com/office/drawing/2014/main" id="{9CC17860-45EF-BB77-1C49-ECAADCD89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76131" y="193168"/>
          <a:ext cx="365760" cy="367573"/>
        </a:xfrm>
        <a:prstGeom prst="rect">
          <a:avLst/>
        </a:prstGeom>
      </xdr:spPr>
    </xdr:pic>
    <xdr:clientData/>
  </xdr:twoCellAnchor>
  <xdr:twoCellAnchor>
    <xdr:from>
      <xdr:col>2</xdr:col>
      <xdr:colOff>389343</xdr:colOff>
      <xdr:row>0</xdr:row>
      <xdr:rowOff>0</xdr:rowOff>
    </xdr:from>
    <xdr:to>
      <xdr:col>2</xdr:col>
      <xdr:colOff>667445</xdr:colOff>
      <xdr:row>22</xdr:row>
      <xdr:rowOff>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C4030E-07E0-9965-343B-E8DFD732528B}"/>
            </a:ext>
          </a:extLst>
        </xdr:cNvPr>
        <xdr:cNvSpPr/>
      </xdr:nvSpPr>
      <xdr:spPr>
        <a:xfrm>
          <a:off x="2039416" y="0"/>
          <a:ext cx="278102" cy="6090438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74707</xdr:colOff>
      <xdr:row>7</xdr:row>
      <xdr:rowOff>118802</xdr:rowOff>
    </xdr:from>
    <xdr:to>
      <xdr:col>2</xdr:col>
      <xdr:colOff>524612</xdr:colOff>
      <xdr:row>10</xdr:row>
      <xdr:rowOff>90714</xdr:rowOff>
    </xdr:to>
    <xdr:grpSp>
      <xdr:nvGrpSpPr>
        <xdr:cNvPr id="32" name="Grupo 3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AD247A4-2799-C66A-F5AB-2A3990BABD74}"/>
            </a:ext>
          </a:extLst>
        </xdr:cNvPr>
        <xdr:cNvGrpSpPr/>
      </xdr:nvGrpSpPr>
      <xdr:grpSpPr>
        <a:xfrm>
          <a:off x="74707" y="1657743"/>
          <a:ext cx="2108376" cy="689089"/>
          <a:chOff x="74707" y="1657743"/>
          <a:chExt cx="2108376" cy="689089"/>
        </a:xfrm>
      </xdr:grpSpPr>
      <xdr:sp macro="" textlink="">
        <xdr:nvSpPr>
          <xdr:cNvPr id="11" name="CuadroTexto 10">
            <a:extLst>
              <a:ext uri="{FF2B5EF4-FFF2-40B4-BE49-F238E27FC236}">
                <a16:creationId xmlns:a16="http://schemas.microsoft.com/office/drawing/2014/main" id="{E9B8A2C7-772B-5C4F-B7B2-5E300969C8C9}"/>
              </a:ext>
            </a:extLst>
          </xdr:cNvPr>
          <xdr:cNvSpPr txBox="1"/>
        </xdr:nvSpPr>
        <xdr:spPr>
          <a:xfrm>
            <a:off x="524613" y="1657743"/>
            <a:ext cx="1658470" cy="689089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RADIOGRAFIA</a:t>
            </a:r>
            <a:r>
              <a:rPr lang="es-MX" sz="1400" b="1" baseline="0">
                <a:solidFill>
                  <a:schemeClr val="bg1"/>
                </a:solidFill>
                <a:latin typeface="Abadi" panose="020B0604020104020204" pitchFamily="34" charset="77"/>
              </a:rPr>
              <a:t> REPRODUCTIVA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  <xdr:pic>
        <xdr:nvPicPr>
          <xdr:cNvPr id="5" name="Gráfico 4" descr="Bar chart con relleno sólido">
            <a:extLst>
              <a:ext uri="{FF2B5EF4-FFF2-40B4-BE49-F238E27FC236}">
                <a16:creationId xmlns:a16="http://schemas.microsoft.com/office/drawing/2014/main" id="{F932E6D8-9B5E-EB9C-1C75-A3B6F8E76F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74707" y="1733176"/>
            <a:ext cx="485589" cy="48558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74707</xdr:colOff>
      <xdr:row>10</xdr:row>
      <xdr:rowOff>170761</xdr:rowOff>
    </xdr:from>
    <xdr:to>
      <xdr:col>2</xdr:col>
      <xdr:colOff>486192</xdr:colOff>
      <xdr:row>13</xdr:row>
      <xdr:rowOff>136072</xdr:rowOff>
    </xdr:to>
    <xdr:grpSp>
      <xdr:nvGrpSpPr>
        <xdr:cNvPr id="33" name="Grupo 3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7109B9-CACE-E9B2-7098-C415259465AC}"/>
            </a:ext>
          </a:extLst>
        </xdr:cNvPr>
        <xdr:cNvGrpSpPr/>
      </xdr:nvGrpSpPr>
      <xdr:grpSpPr>
        <a:xfrm>
          <a:off x="74707" y="2426879"/>
          <a:ext cx="2069956" cy="645134"/>
          <a:chOff x="74707" y="2426879"/>
          <a:chExt cx="2069956" cy="645134"/>
        </a:xfrm>
      </xdr:grpSpPr>
      <xdr:sp macro="" textlink="">
        <xdr:nvSpPr>
          <xdr:cNvPr id="12" name="CuadroTexto 11">
            <a:extLst>
              <a:ext uri="{FF2B5EF4-FFF2-40B4-BE49-F238E27FC236}">
                <a16:creationId xmlns:a16="http://schemas.microsoft.com/office/drawing/2014/main" id="{E95D8362-A632-4943-834A-24CF7EEE809D}"/>
              </a:ext>
            </a:extLst>
          </xdr:cNvPr>
          <xdr:cNvSpPr txBox="1"/>
        </xdr:nvSpPr>
        <xdr:spPr>
          <a:xfrm>
            <a:off x="486194" y="2426879"/>
            <a:ext cx="1658469" cy="645134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RADIOGRAFIA</a:t>
            </a:r>
            <a:r>
              <a:rPr lang="es-MX" sz="1400" b="1" baseline="0">
                <a:solidFill>
                  <a:schemeClr val="bg1"/>
                </a:solidFill>
                <a:latin typeface="Abadi" panose="020B0604020104020204" pitchFamily="34" charset="77"/>
              </a:rPr>
              <a:t> PRODUCTIVA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  <xdr:pic>
        <xdr:nvPicPr>
          <xdr:cNvPr id="14" name="Gráfico 13" descr="Presentation with bar chart con relleno sólido">
            <a:extLst>
              <a:ext uri="{FF2B5EF4-FFF2-40B4-BE49-F238E27FC236}">
                <a16:creationId xmlns:a16="http://schemas.microsoft.com/office/drawing/2014/main" id="{5FC16FB8-37A8-66F9-BA75-4334E912D0A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96DAC541-7B7A-43D3-8B79-37D633B846F1}">
                <asvg:svgBlip xmlns:asvg="http://schemas.microsoft.com/office/drawing/2016/SVG/main" r:embed="rId8"/>
              </a:ext>
            </a:extLst>
          </a:blip>
          <a:stretch>
            <a:fillRect/>
          </a:stretch>
        </xdr:blipFill>
        <xdr:spPr>
          <a:xfrm>
            <a:off x="74707" y="2472766"/>
            <a:ext cx="455706" cy="455706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37353</xdr:colOff>
      <xdr:row>13</xdr:row>
      <xdr:rowOff>194233</xdr:rowOff>
    </xdr:from>
    <xdr:to>
      <xdr:col>2</xdr:col>
      <xdr:colOff>487382</xdr:colOff>
      <xdr:row>17</xdr:row>
      <xdr:rowOff>171818</xdr:rowOff>
    </xdr:to>
    <xdr:grpSp>
      <xdr:nvGrpSpPr>
        <xdr:cNvPr id="34" name="Grupo 3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233C760B-5E94-0552-83C4-14EF9505FDB6}"/>
            </a:ext>
          </a:extLst>
        </xdr:cNvPr>
        <xdr:cNvGrpSpPr/>
      </xdr:nvGrpSpPr>
      <xdr:grpSpPr>
        <a:xfrm>
          <a:off x="37353" y="3130174"/>
          <a:ext cx="2108500" cy="821762"/>
          <a:chOff x="37353" y="3212355"/>
          <a:chExt cx="2108500" cy="784409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3D191119-C711-C44F-8879-FE4ED0C474F5}"/>
              </a:ext>
            </a:extLst>
          </xdr:cNvPr>
          <xdr:cNvSpPr txBox="1"/>
        </xdr:nvSpPr>
        <xdr:spPr>
          <a:xfrm>
            <a:off x="487384" y="3212355"/>
            <a:ext cx="1658469" cy="784409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BRECHA</a:t>
            </a:r>
            <a:r>
              <a:rPr lang="es-MX" sz="1400" b="1" baseline="0">
                <a:solidFill>
                  <a:schemeClr val="bg1"/>
                </a:solidFill>
                <a:latin typeface="Abadi" panose="020B0604020104020204" pitchFamily="34" charset="77"/>
              </a:rPr>
              <a:t> POTENCIAL PRODUCTIVO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  <xdr:pic>
        <xdr:nvPicPr>
          <xdr:cNvPr id="18" name="Gráfico 17" descr="Bar graph with upward trend con relleno sólido">
            <a:extLst>
              <a:ext uri="{FF2B5EF4-FFF2-40B4-BE49-F238E27FC236}">
                <a16:creationId xmlns:a16="http://schemas.microsoft.com/office/drawing/2014/main" id="{38A8BC8B-DDC3-D489-F78C-86E6FA210F3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96DAC541-7B7A-43D3-8B79-37D633B846F1}">
                <asvg:svgBlip xmlns:asvg="http://schemas.microsoft.com/office/drawing/2016/SVG/main" r:embed="rId11"/>
              </a:ext>
            </a:extLst>
          </a:blip>
          <a:stretch>
            <a:fillRect/>
          </a:stretch>
        </xdr:blipFill>
        <xdr:spPr>
          <a:xfrm>
            <a:off x="37353" y="3339351"/>
            <a:ext cx="500531" cy="500531"/>
          </a:xfrm>
          <a:prstGeom prst="rect">
            <a:avLst/>
          </a:prstGeom>
        </xdr:spPr>
      </xdr:pic>
    </xdr:grpSp>
    <xdr:clientData/>
  </xdr:twoCellAnchor>
  <xdr:twoCellAnchor editAs="oneCell">
    <xdr:from>
      <xdr:col>10</xdr:col>
      <xdr:colOff>358588</xdr:colOff>
      <xdr:row>0</xdr:row>
      <xdr:rowOff>0</xdr:rowOff>
    </xdr:from>
    <xdr:to>
      <xdr:col>16384</xdr:col>
      <xdr:colOff>152399</xdr:colOff>
      <xdr:row>4</xdr:row>
      <xdr:rowOff>112059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7EC90CC-6D01-BA55-48D2-C8565EC09A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70" b="15762"/>
        <a:stretch>
          <a:fillRect/>
        </a:stretch>
      </xdr:blipFill>
      <xdr:spPr>
        <a:xfrm>
          <a:off x="6828117" y="0"/>
          <a:ext cx="3469341" cy="100853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89647</xdr:colOff>
      <xdr:row>18</xdr:row>
      <xdr:rowOff>74707</xdr:rowOff>
    </xdr:from>
    <xdr:to>
      <xdr:col>2</xdr:col>
      <xdr:colOff>177157</xdr:colOff>
      <xdr:row>20</xdr:row>
      <xdr:rowOff>179295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925F40C-AFFA-2F6D-A311-173535EC07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14" t="19806" r="4279" b="17203"/>
        <a:stretch>
          <a:fillRect/>
        </a:stretch>
      </xdr:blipFill>
      <xdr:spPr>
        <a:xfrm>
          <a:off x="89647" y="4019178"/>
          <a:ext cx="1745981" cy="507999"/>
        </a:xfrm>
        <a:prstGeom prst="rect">
          <a:avLst/>
        </a:prstGeom>
      </xdr:spPr>
    </xdr:pic>
    <xdr:clientData/>
  </xdr:twoCellAnchor>
  <xdr:twoCellAnchor>
    <xdr:from>
      <xdr:col>0</xdr:col>
      <xdr:colOff>136387</xdr:colOff>
      <xdr:row>4</xdr:row>
      <xdr:rowOff>64786</xdr:rowOff>
    </xdr:from>
    <xdr:to>
      <xdr:col>2</xdr:col>
      <xdr:colOff>486393</xdr:colOff>
      <xdr:row>7</xdr:row>
      <xdr:rowOff>45357</xdr:rowOff>
    </xdr:to>
    <xdr:grpSp>
      <xdr:nvGrpSpPr>
        <xdr:cNvPr id="31" name="Grupo 30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E276CD10-1344-A080-B412-A2A48395BB10}"/>
            </a:ext>
          </a:extLst>
        </xdr:cNvPr>
        <xdr:cNvGrpSpPr/>
      </xdr:nvGrpSpPr>
      <xdr:grpSpPr>
        <a:xfrm>
          <a:off x="136387" y="961257"/>
          <a:ext cx="2008477" cy="623041"/>
          <a:chOff x="136387" y="961257"/>
          <a:chExt cx="2008477" cy="623041"/>
        </a:xfrm>
      </xdr:grpSpPr>
      <xdr:pic>
        <xdr:nvPicPr>
          <xdr:cNvPr id="2" name="Gráfico 1" descr="Gears con relleno sólido">
            <a:extLst>
              <a:ext uri="{FF2B5EF4-FFF2-40B4-BE49-F238E27FC236}">
                <a16:creationId xmlns:a16="http://schemas.microsoft.com/office/drawing/2014/main" id="{A5ED93E4-773C-0449-BB56-E48C862454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>
            <a:extLst>
              <a:ext uri="{96DAC541-7B7A-43D3-8B79-37D633B846F1}">
                <asvg:svgBlip xmlns:asvg="http://schemas.microsoft.com/office/drawing/2016/SVG/main" r:embed="rId16"/>
              </a:ext>
            </a:extLst>
          </a:blip>
          <a:stretch>
            <a:fillRect/>
          </a:stretch>
        </xdr:blipFill>
        <xdr:spPr>
          <a:xfrm>
            <a:off x="136387" y="1074486"/>
            <a:ext cx="365760" cy="359474"/>
          </a:xfrm>
          <a:prstGeom prst="rect">
            <a:avLst/>
          </a:prstGeom>
        </xdr:spPr>
      </xdr:pic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CB5359D1-0518-5F4D-855A-9247711A4997}"/>
              </a:ext>
            </a:extLst>
          </xdr:cNvPr>
          <xdr:cNvSpPr txBox="1"/>
        </xdr:nvSpPr>
        <xdr:spPr>
          <a:xfrm>
            <a:off x="486394" y="961257"/>
            <a:ext cx="1658470" cy="623041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CONFIGURACIÓN PRODUCTIVA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</xdr:grpSp>
    <xdr:clientData/>
  </xdr:twoCellAnchor>
  <xdr:twoCellAnchor>
    <xdr:from>
      <xdr:col>7</xdr:col>
      <xdr:colOff>97117</xdr:colOff>
      <xdr:row>3</xdr:row>
      <xdr:rowOff>74706</xdr:rowOff>
    </xdr:from>
    <xdr:to>
      <xdr:col>7</xdr:col>
      <xdr:colOff>560294</xdr:colOff>
      <xdr:row>3</xdr:row>
      <xdr:rowOff>194235</xdr:rowOff>
    </xdr:to>
    <xdr:sp macro="" textlink="">
      <xdr:nvSpPr>
        <xdr:cNvPr id="35" name="Flecha abajo 34">
          <a:extLst>
            <a:ext uri="{FF2B5EF4-FFF2-40B4-BE49-F238E27FC236}">
              <a16:creationId xmlns:a16="http://schemas.microsoft.com/office/drawing/2014/main" id="{18F4F8AB-0EB0-7656-7204-5C12C350E4D3}"/>
            </a:ext>
          </a:extLst>
        </xdr:cNvPr>
        <xdr:cNvSpPr/>
      </xdr:nvSpPr>
      <xdr:spPr>
        <a:xfrm rot="5400000">
          <a:off x="4870823" y="545353"/>
          <a:ext cx="119529" cy="463177"/>
        </a:xfrm>
        <a:prstGeom prst="downArrow">
          <a:avLst/>
        </a:prstGeom>
        <a:ln w="3175"/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9270</xdr:colOff>
      <xdr:row>0</xdr:row>
      <xdr:rowOff>8466</xdr:rowOff>
    </xdr:from>
    <xdr:to>
      <xdr:col>2</xdr:col>
      <xdr:colOff>528394</xdr:colOff>
      <xdr:row>29</xdr:row>
      <xdr:rowOff>193867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392648A0-F6DD-7F4C-9356-E4F80577675F}"/>
            </a:ext>
          </a:extLst>
        </xdr:cNvPr>
        <xdr:cNvSpPr/>
      </xdr:nvSpPr>
      <xdr:spPr>
        <a:xfrm>
          <a:off x="9270" y="8466"/>
          <a:ext cx="2170124" cy="6598901"/>
        </a:xfrm>
        <a:prstGeom prst="rect">
          <a:avLst/>
        </a:prstGeom>
        <a:gradFill>
          <a:gsLst>
            <a:gs pos="0">
              <a:schemeClr val="accent5">
                <a:lumMod val="75000"/>
              </a:schemeClr>
            </a:gs>
            <a:gs pos="100000">
              <a:schemeClr val="accent4">
                <a:lumMod val="75000"/>
              </a:schemeClr>
            </a:gs>
          </a:gsLst>
          <a:lin ang="5400000" scaled="1"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482044</xdr:colOff>
      <xdr:row>14</xdr:row>
      <xdr:rowOff>203941</xdr:rowOff>
    </xdr:from>
    <xdr:to>
      <xdr:col>2</xdr:col>
      <xdr:colOff>482043</xdr:colOff>
      <xdr:row>18</xdr:row>
      <xdr:rowOff>64891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99EF09BB-4541-4548-9328-775983CE7134}"/>
            </a:ext>
          </a:extLst>
        </xdr:cNvPr>
        <xdr:cNvSpPr txBox="1"/>
      </xdr:nvSpPr>
      <xdr:spPr>
        <a:xfrm>
          <a:off x="482044" y="3315441"/>
          <a:ext cx="1650999" cy="52135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600" b="1">
              <a:solidFill>
                <a:schemeClr val="bg1"/>
              </a:solidFill>
              <a:latin typeface="Abadi" panose="020B0604020104020204" pitchFamily="34" charset="77"/>
            </a:rPr>
            <a:t>SECCIÓN 2</a:t>
          </a:r>
          <a:endParaRPr lang="es-MX" sz="110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>
    <xdr:from>
      <xdr:col>0</xdr:col>
      <xdr:colOff>491313</xdr:colOff>
      <xdr:row>19</xdr:row>
      <xdr:rowOff>55620</xdr:rowOff>
    </xdr:from>
    <xdr:to>
      <xdr:col>2</xdr:col>
      <xdr:colOff>491311</xdr:colOff>
      <xdr:row>21</xdr:row>
      <xdr:rowOff>120512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06CD770-CC3B-8144-B065-6F171DAF6A7A}"/>
            </a:ext>
          </a:extLst>
        </xdr:cNvPr>
        <xdr:cNvSpPr txBox="1"/>
      </xdr:nvSpPr>
      <xdr:spPr>
        <a:xfrm>
          <a:off x="491313" y="4081520"/>
          <a:ext cx="1650998" cy="572892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600" b="1">
              <a:solidFill>
                <a:schemeClr val="bg1"/>
              </a:solidFill>
              <a:latin typeface="Abadi" panose="020B0604020104020204" pitchFamily="34" charset="77"/>
            </a:rPr>
            <a:t>SECCIÓN 2</a:t>
          </a:r>
          <a:endParaRPr lang="es-MX" sz="110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>
    <xdr:from>
      <xdr:col>0</xdr:col>
      <xdr:colOff>482043</xdr:colOff>
      <xdr:row>22</xdr:row>
      <xdr:rowOff>101970</xdr:rowOff>
    </xdr:from>
    <xdr:to>
      <xdr:col>2</xdr:col>
      <xdr:colOff>482041</xdr:colOff>
      <xdr:row>23</xdr:row>
      <xdr:rowOff>166862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8040101-7954-2C47-9C7C-48EB0F0E4BD7}"/>
            </a:ext>
          </a:extLst>
        </xdr:cNvPr>
        <xdr:cNvSpPr txBox="1"/>
      </xdr:nvSpPr>
      <xdr:spPr>
        <a:xfrm>
          <a:off x="482043" y="4889870"/>
          <a:ext cx="1650998" cy="471292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600" b="1">
              <a:solidFill>
                <a:schemeClr val="bg1"/>
              </a:solidFill>
              <a:latin typeface="Abadi" panose="020B0604020104020204" pitchFamily="34" charset="77"/>
            </a:rPr>
            <a:t>SECCIÓN 2</a:t>
          </a:r>
          <a:endParaRPr lang="es-MX" sz="110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157592</xdr:colOff>
      <xdr:row>15</xdr:row>
      <xdr:rowOff>18539</xdr:rowOff>
    </xdr:from>
    <xdr:to>
      <xdr:col>0</xdr:col>
      <xdr:colOff>523352</xdr:colOff>
      <xdr:row>16</xdr:row>
      <xdr:rowOff>162215</xdr:rowOff>
    </xdr:to>
    <xdr:pic>
      <xdr:nvPicPr>
        <xdr:cNvPr id="8" name="Gráfico 7" descr="Pig con relleno sólido">
          <a:extLst>
            <a:ext uri="{FF2B5EF4-FFF2-40B4-BE49-F238E27FC236}">
              <a16:creationId xmlns:a16="http://schemas.microsoft.com/office/drawing/2014/main" id="{1CD0F186-09FF-9F47-9621-4E8B10D23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57592" y="3333239"/>
          <a:ext cx="365760" cy="365019"/>
        </a:xfrm>
        <a:prstGeom prst="rect">
          <a:avLst/>
        </a:prstGeom>
      </xdr:spPr>
    </xdr:pic>
    <xdr:clientData/>
  </xdr:twoCellAnchor>
  <xdr:twoCellAnchor editAs="oneCell">
    <xdr:from>
      <xdr:col>0</xdr:col>
      <xdr:colOff>157591</xdr:colOff>
      <xdr:row>19</xdr:row>
      <xdr:rowOff>74159</xdr:rowOff>
    </xdr:from>
    <xdr:to>
      <xdr:col>0</xdr:col>
      <xdr:colOff>523351</xdr:colOff>
      <xdr:row>20</xdr:row>
      <xdr:rowOff>184436</xdr:rowOff>
    </xdr:to>
    <xdr:pic>
      <xdr:nvPicPr>
        <xdr:cNvPr id="9" name="Gráfico 8" descr="Pig con relleno sólido">
          <a:extLst>
            <a:ext uri="{FF2B5EF4-FFF2-40B4-BE49-F238E27FC236}">
              <a16:creationId xmlns:a16="http://schemas.microsoft.com/office/drawing/2014/main" id="{84EA9421-78C4-2D4A-AB44-1CCF7A135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57591" y="4100059"/>
          <a:ext cx="365760" cy="364277"/>
        </a:xfrm>
        <a:prstGeom prst="rect">
          <a:avLst/>
        </a:prstGeom>
      </xdr:spPr>
    </xdr:pic>
    <xdr:clientData/>
  </xdr:twoCellAnchor>
  <xdr:twoCellAnchor editAs="oneCell">
    <xdr:from>
      <xdr:col>0</xdr:col>
      <xdr:colOff>139051</xdr:colOff>
      <xdr:row>22</xdr:row>
      <xdr:rowOff>129780</xdr:rowOff>
    </xdr:from>
    <xdr:to>
      <xdr:col>0</xdr:col>
      <xdr:colOff>504811</xdr:colOff>
      <xdr:row>23</xdr:row>
      <xdr:rowOff>105800</xdr:rowOff>
    </xdr:to>
    <xdr:pic>
      <xdr:nvPicPr>
        <xdr:cNvPr id="10" name="Gráfico 9" descr="Pig con relleno sólido">
          <a:extLst>
            <a:ext uri="{FF2B5EF4-FFF2-40B4-BE49-F238E27FC236}">
              <a16:creationId xmlns:a16="http://schemas.microsoft.com/office/drawing/2014/main" id="{34F516E2-758D-444B-BC99-65A74A5F3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051" y="4917680"/>
          <a:ext cx="365760" cy="364277"/>
        </a:xfrm>
        <a:prstGeom prst="rect">
          <a:avLst/>
        </a:prstGeom>
      </xdr:spPr>
    </xdr:pic>
    <xdr:clientData/>
  </xdr:twoCellAnchor>
  <xdr:twoCellAnchor>
    <xdr:from>
      <xdr:col>0</xdr:col>
      <xdr:colOff>29422</xdr:colOff>
      <xdr:row>10</xdr:row>
      <xdr:rowOff>204799</xdr:rowOff>
    </xdr:from>
    <xdr:to>
      <xdr:col>2</xdr:col>
      <xdr:colOff>492921</xdr:colOff>
      <xdr:row>13</xdr:row>
      <xdr:rowOff>126996</xdr:rowOff>
    </xdr:to>
    <xdr:sp macro="" textlink="">
      <xdr:nvSpPr>
        <xdr:cNvPr id="11" name="Rectángulo redondeado 10">
          <a:extLst>
            <a:ext uri="{FF2B5EF4-FFF2-40B4-BE49-F238E27FC236}">
              <a16:creationId xmlns:a16="http://schemas.microsoft.com/office/drawing/2014/main" id="{03FF027F-8BEF-0F4D-87C8-477BE0B74651}"/>
            </a:ext>
          </a:extLst>
        </xdr:cNvPr>
        <xdr:cNvSpPr/>
      </xdr:nvSpPr>
      <xdr:spPr>
        <a:xfrm>
          <a:off x="29422" y="2456932"/>
          <a:ext cx="2122966" cy="582597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  <a:effectLst>
          <a:outerShdw blurRad="50800" dist="38100" dir="2700000" algn="tl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509853</xdr:colOff>
      <xdr:row>2</xdr:row>
      <xdr:rowOff>54816</xdr:rowOff>
    </xdr:from>
    <xdr:to>
      <xdr:col>2</xdr:col>
      <xdr:colOff>509853</xdr:colOff>
      <xdr:row>4</xdr:row>
      <xdr:rowOff>73357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5693DF50-B3AC-C04F-AD62-273EEE5C8AD5}"/>
            </a:ext>
          </a:extLst>
        </xdr:cNvPr>
        <xdr:cNvSpPr txBox="1"/>
      </xdr:nvSpPr>
      <xdr:spPr>
        <a:xfrm>
          <a:off x="509853" y="499316"/>
          <a:ext cx="1651000" cy="4757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600" b="1">
              <a:solidFill>
                <a:schemeClr val="bg1"/>
              </a:solidFill>
              <a:latin typeface="Abadi" panose="020B0604020104020204" pitchFamily="34" charset="77"/>
            </a:rPr>
            <a:t>INICIO</a:t>
          </a:r>
          <a:endParaRPr lang="es-MX" sz="110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176131</xdr:colOff>
      <xdr:row>2</xdr:row>
      <xdr:rowOff>45546</xdr:rowOff>
    </xdr:from>
    <xdr:to>
      <xdr:col>0</xdr:col>
      <xdr:colOff>541891</xdr:colOff>
      <xdr:row>4</xdr:row>
      <xdr:rowOff>1085</xdr:rowOff>
    </xdr:to>
    <xdr:pic>
      <xdr:nvPicPr>
        <xdr:cNvPr id="13" name="Gráfico 12" descr="Home con relleno sólido">
          <a:extLst>
            <a:ext uri="{FF2B5EF4-FFF2-40B4-BE49-F238E27FC236}">
              <a16:creationId xmlns:a16="http://schemas.microsoft.com/office/drawing/2014/main" id="{638264BD-C5D4-9047-A9B8-B97AA6101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76131" y="490046"/>
          <a:ext cx="365760" cy="365018"/>
        </a:xfrm>
        <a:prstGeom prst="rect">
          <a:avLst/>
        </a:prstGeom>
      </xdr:spPr>
    </xdr:pic>
    <xdr:clientData/>
  </xdr:twoCellAnchor>
  <xdr:twoCellAnchor>
    <xdr:from>
      <xdr:col>2</xdr:col>
      <xdr:colOff>389343</xdr:colOff>
      <xdr:row>0</xdr:row>
      <xdr:rowOff>1605</xdr:rowOff>
    </xdr:from>
    <xdr:to>
      <xdr:col>2</xdr:col>
      <xdr:colOff>667445</xdr:colOff>
      <xdr:row>29</xdr:row>
      <xdr:rowOff>159197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A00EB10B-35A0-F446-84DF-917BEE523F28}"/>
            </a:ext>
          </a:extLst>
        </xdr:cNvPr>
        <xdr:cNvSpPr/>
      </xdr:nvSpPr>
      <xdr:spPr>
        <a:xfrm>
          <a:off x="2040343" y="1605"/>
          <a:ext cx="278102" cy="6571092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491314</xdr:colOff>
      <xdr:row>6</xdr:row>
      <xdr:rowOff>93133</xdr:rowOff>
    </xdr:from>
    <xdr:to>
      <xdr:col>2</xdr:col>
      <xdr:colOff>491313</xdr:colOff>
      <xdr:row>9</xdr:row>
      <xdr:rowOff>49934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813A5E77-262F-7C4C-8639-8DE8B721F56C}"/>
            </a:ext>
          </a:extLst>
        </xdr:cNvPr>
        <xdr:cNvSpPr txBox="1"/>
      </xdr:nvSpPr>
      <xdr:spPr>
        <a:xfrm>
          <a:off x="491314" y="1426633"/>
          <a:ext cx="1650999" cy="64260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600" b="1">
              <a:solidFill>
                <a:schemeClr val="bg1"/>
              </a:solidFill>
              <a:latin typeface="Abadi" panose="020B0604020104020204" pitchFamily="34" charset="77"/>
            </a:rPr>
            <a:t>ANALISIS</a:t>
          </a:r>
          <a:r>
            <a:rPr lang="es-MX" sz="1600" b="1" baseline="0">
              <a:solidFill>
                <a:schemeClr val="bg1"/>
              </a:solidFill>
              <a:latin typeface="Abadi" panose="020B0604020104020204" pitchFamily="34" charset="77"/>
            </a:rPr>
            <a:t> DE INVENTARIO</a:t>
          </a:r>
          <a:endParaRPr lang="es-MX" sz="110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174525</xdr:colOff>
      <xdr:row>6</xdr:row>
      <xdr:rowOff>194301</xdr:rowOff>
    </xdr:from>
    <xdr:to>
      <xdr:col>0</xdr:col>
      <xdr:colOff>540285</xdr:colOff>
      <xdr:row>8</xdr:row>
      <xdr:rowOff>55196</xdr:rowOff>
    </xdr:to>
    <xdr:pic>
      <xdr:nvPicPr>
        <xdr:cNvPr id="17" name="Gráfico 16" descr="Pig con relleno sólido">
          <a:extLst>
            <a:ext uri="{FF2B5EF4-FFF2-40B4-BE49-F238E27FC236}">
              <a16:creationId xmlns:a16="http://schemas.microsoft.com/office/drawing/2014/main" id="{0AE3400E-4FA2-1C44-8CD9-63933CC13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174525" y="1527801"/>
          <a:ext cx="365760" cy="364277"/>
        </a:xfrm>
        <a:prstGeom prst="rect">
          <a:avLst/>
        </a:prstGeom>
      </xdr:spPr>
    </xdr:pic>
    <xdr:clientData/>
  </xdr:twoCellAnchor>
  <xdr:twoCellAnchor>
    <xdr:from>
      <xdr:col>0</xdr:col>
      <xdr:colOff>500584</xdr:colOff>
      <xdr:row>11</xdr:row>
      <xdr:rowOff>2404</xdr:rowOff>
    </xdr:from>
    <xdr:to>
      <xdr:col>2</xdr:col>
      <xdr:colOff>500583</xdr:colOff>
      <xdr:row>13</xdr:row>
      <xdr:rowOff>101600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DD29246-F612-9E44-A1A7-8875E609759E}"/>
            </a:ext>
          </a:extLst>
        </xdr:cNvPr>
        <xdr:cNvSpPr txBox="1"/>
      </xdr:nvSpPr>
      <xdr:spPr>
        <a:xfrm>
          <a:off x="500584" y="2483137"/>
          <a:ext cx="1659466" cy="53099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600" b="1">
              <a:solidFill>
                <a:schemeClr val="tx1"/>
              </a:solidFill>
              <a:latin typeface="Abadi" panose="020B0604020104020204" pitchFamily="34" charset="77"/>
            </a:rPr>
            <a:t>FLUJO</a:t>
          </a:r>
          <a:r>
            <a:rPr lang="es-MX" sz="1600" b="1" baseline="0">
              <a:solidFill>
                <a:schemeClr val="tx1"/>
              </a:solidFill>
              <a:latin typeface="Abadi" panose="020B0604020104020204" pitchFamily="34" charset="77"/>
            </a:rPr>
            <a:t> DE PRODUCCIÓN</a:t>
          </a:r>
          <a:endParaRPr lang="es-MX" sz="1100" b="1">
            <a:solidFill>
              <a:schemeClr val="tx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143935</xdr:colOff>
      <xdr:row>11</xdr:row>
      <xdr:rowOff>59269</xdr:rowOff>
    </xdr:from>
    <xdr:to>
      <xdr:col>0</xdr:col>
      <xdr:colOff>509695</xdr:colOff>
      <xdr:row>12</xdr:row>
      <xdr:rowOff>173338</xdr:rowOff>
    </xdr:to>
    <xdr:pic>
      <xdr:nvPicPr>
        <xdr:cNvPr id="19" name="Gráfico 18" descr="Gears con relleno sólido">
          <a:extLst>
            <a:ext uri="{FF2B5EF4-FFF2-40B4-BE49-F238E27FC236}">
              <a16:creationId xmlns:a16="http://schemas.microsoft.com/office/drawing/2014/main" id="{73F277CB-63DD-EB1A-828B-5601EFFA5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43935" y="2540002"/>
          <a:ext cx="365760" cy="365760"/>
        </a:xfrm>
        <a:prstGeom prst="rect">
          <a:avLst/>
        </a:prstGeom>
      </xdr:spPr>
    </xdr:pic>
    <xdr:clientData/>
  </xdr:twoCellAnchor>
  <xdr:twoCellAnchor>
    <xdr:from>
      <xdr:col>0</xdr:col>
      <xdr:colOff>9270</xdr:colOff>
      <xdr:row>0</xdr:row>
      <xdr:rowOff>0</xdr:rowOff>
    </xdr:from>
    <xdr:to>
      <xdr:col>2</xdr:col>
      <xdr:colOff>528394</xdr:colOff>
      <xdr:row>29</xdr:row>
      <xdr:rowOff>185401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705C521-DC67-4B43-8FA7-A68CA4D57834}"/>
            </a:ext>
          </a:extLst>
        </xdr:cNvPr>
        <xdr:cNvSpPr/>
      </xdr:nvSpPr>
      <xdr:spPr>
        <a:xfrm>
          <a:off x="9270" y="0"/>
          <a:ext cx="2170124" cy="6167101"/>
        </a:xfrm>
        <a:prstGeom prst="rect">
          <a:avLst/>
        </a:prstGeom>
        <a:gradFill>
          <a:gsLst>
            <a:gs pos="0">
              <a:schemeClr val="accent5">
                <a:lumMod val="75000"/>
              </a:schemeClr>
            </a:gs>
            <a:gs pos="100000">
              <a:schemeClr val="accent4">
                <a:lumMod val="75000"/>
              </a:schemeClr>
            </a:gs>
          </a:gsLst>
          <a:lin ang="5400000" scaled="1"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524613</xdr:colOff>
      <xdr:row>7</xdr:row>
      <xdr:rowOff>118802</xdr:rowOff>
    </xdr:from>
    <xdr:to>
      <xdr:col>2</xdr:col>
      <xdr:colOff>524612</xdr:colOff>
      <xdr:row>9</xdr:row>
      <xdr:rowOff>185507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48DD4A8D-B566-F344-B0F1-8F788A1A7541}"/>
            </a:ext>
          </a:extLst>
        </xdr:cNvPr>
        <xdr:cNvSpPr txBox="1"/>
      </xdr:nvSpPr>
      <xdr:spPr>
        <a:xfrm>
          <a:off x="524613" y="1630102"/>
          <a:ext cx="1650999" cy="47310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400" b="1">
              <a:solidFill>
                <a:schemeClr val="bg1"/>
              </a:solidFill>
              <a:latin typeface="Abadi" panose="020B0604020104020204" pitchFamily="34" charset="77"/>
            </a:rPr>
            <a:t>ANALISIS</a:t>
          </a:r>
          <a:r>
            <a:rPr lang="es-MX" sz="1400" b="1" baseline="0">
              <a:solidFill>
                <a:schemeClr val="bg1"/>
              </a:solidFill>
              <a:latin typeface="Abadi" panose="020B0604020104020204" pitchFamily="34" charset="77"/>
            </a:rPr>
            <a:t> DE INVENTARIO</a:t>
          </a:r>
          <a:endParaRPr lang="es-MX" sz="105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>
    <xdr:from>
      <xdr:col>0</xdr:col>
      <xdr:colOff>477123</xdr:colOff>
      <xdr:row>10</xdr:row>
      <xdr:rowOff>98189</xdr:rowOff>
    </xdr:from>
    <xdr:to>
      <xdr:col>2</xdr:col>
      <xdr:colOff>477121</xdr:colOff>
      <xdr:row>12</xdr:row>
      <xdr:rowOff>163081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81645530-52EE-5B4F-93A0-C2488B1993DA}"/>
            </a:ext>
          </a:extLst>
        </xdr:cNvPr>
        <xdr:cNvSpPr txBox="1"/>
      </xdr:nvSpPr>
      <xdr:spPr>
        <a:xfrm>
          <a:off x="477123" y="2219089"/>
          <a:ext cx="1650998" cy="471292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600" b="1">
              <a:solidFill>
                <a:schemeClr val="bg1"/>
              </a:solidFill>
              <a:latin typeface="Abadi" panose="020B0604020104020204" pitchFamily="34" charset="77"/>
            </a:rPr>
            <a:t>ÓPTIMO</a:t>
          </a:r>
          <a:r>
            <a:rPr lang="es-MX" sz="1600" b="1" baseline="0">
              <a:solidFill>
                <a:schemeClr val="bg1"/>
              </a:solidFill>
              <a:latin typeface="Abadi" panose="020B0604020104020204" pitchFamily="34" charset="77"/>
            </a:rPr>
            <a:t> DE VENTAS</a:t>
          </a:r>
          <a:endParaRPr lang="es-MX" sz="110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115022</xdr:colOff>
      <xdr:row>7</xdr:row>
      <xdr:rowOff>132059</xdr:rowOff>
    </xdr:from>
    <xdr:to>
      <xdr:col>0</xdr:col>
      <xdr:colOff>480782</xdr:colOff>
      <xdr:row>8</xdr:row>
      <xdr:rowOff>240524</xdr:rowOff>
    </xdr:to>
    <xdr:pic>
      <xdr:nvPicPr>
        <xdr:cNvPr id="21" name="Gráfico 20" descr="Pig con relleno sólido">
          <a:extLst>
            <a:ext uri="{FF2B5EF4-FFF2-40B4-BE49-F238E27FC236}">
              <a16:creationId xmlns:a16="http://schemas.microsoft.com/office/drawing/2014/main" id="{2B041D68-22E7-8A4E-9009-7DD4876FE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5022" y="1643359"/>
          <a:ext cx="365760" cy="362465"/>
        </a:xfrm>
        <a:prstGeom prst="rect">
          <a:avLst/>
        </a:prstGeom>
      </xdr:spPr>
    </xdr:pic>
    <xdr:clientData/>
  </xdr:twoCellAnchor>
  <xdr:twoCellAnchor editAs="oneCell">
    <xdr:from>
      <xdr:col>0</xdr:col>
      <xdr:colOff>86641</xdr:colOff>
      <xdr:row>10</xdr:row>
      <xdr:rowOff>102538</xdr:rowOff>
    </xdr:from>
    <xdr:to>
      <xdr:col>0</xdr:col>
      <xdr:colOff>452401</xdr:colOff>
      <xdr:row>11</xdr:row>
      <xdr:rowOff>212815</xdr:rowOff>
    </xdr:to>
    <xdr:pic>
      <xdr:nvPicPr>
        <xdr:cNvPr id="23" name="Gráfico 22" descr="Pig con relleno sólido">
          <a:extLst>
            <a:ext uri="{FF2B5EF4-FFF2-40B4-BE49-F238E27FC236}">
              <a16:creationId xmlns:a16="http://schemas.microsoft.com/office/drawing/2014/main" id="{DB3A59D1-36B9-A641-A7F8-94885AC5B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6641" y="2223438"/>
          <a:ext cx="365760" cy="364277"/>
        </a:xfrm>
        <a:prstGeom prst="rect">
          <a:avLst/>
        </a:prstGeom>
      </xdr:spPr>
    </xdr:pic>
    <xdr:clientData/>
  </xdr:twoCellAnchor>
  <xdr:twoCellAnchor>
    <xdr:from>
      <xdr:col>0</xdr:col>
      <xdr:colOff>48688</xdr:colOff>
      <xdr:row>4</xdr:row>
      <xdr:rowOff>32273</xdr:rowOff>
    </xdr:from>
    <xdr:to>
      <xdr:col>2</xdr:col>
      <xdr:colOff>512187</xdr:colOff>
      <xdr:row>6</xdr:row>
      <xdr:rowOff>45357</xdr:rowOff>
    </xdr:to>
    <xdr:sp macro="" textlink="">
      <xdr:nvSpPr>
        <xdr:cNvPr id="25" name="Rectángulo redondeado 24">
          <a:extLst>
            <a:ext uri="{FF2B5EF4-FFF2-40B4-BE49-F238E27FC236}">
              <a16:creationId xmlns:a16="http://schemas.microsoft.com/office/drawing/2014/main" id="{61D297C0-3221-0141-BC13-6FC9106BE4E8}"/>
            </a:ext>
          </a:extLst>
        </xdr:cNvPr>
        <xdr:cNvSpPr/>
      </xdr:nvSpPr>
      <xdr:spPr>
        <a:xfrm>
          <a:off x="48688" y="803344"/>
          <a:ext cx="2114499" cy="521084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  <a:effectLst>
          <a:outerShdw blurRad="50800" dist="38100" dir="2700000" algn="tl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509853</xdr:colOff>
      <xdr:row>0</xdr:row>
      <xdr:rowOff>218249</xdr:rowOff>
    </xdr:from>
    <xdr:to>
      <xdr:col>2</xdr:col>
      <xdr:colOff>509853</xdr:colOff>
      <xdr:row>2</xdr:row>
      <xdr:rowOff>250980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779E61AB-E390-D74C-BB5A-07B3095EDAEB}"/>
            </a:ext>
          </a:extLst>
        </xdr:cNvPr>
        <xdr:cNvSpPr txBox="1"/>
      </xdr:nvSpPr>
      <xdr:spPr>
        <a:xfrm>
          <a:off x="509853" y="218249"/>
          <a:ext cx="1651000" cy="395588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400" b="1">
              <a:solidFill>
                <a:schemeClr val="bg1"/>
              </a:solidFill>
              <a:latin typeface="Abadi" panose="020B0604020104020204" pitchFamily="34" charset="77"/>
            </a:rPr>
            <a:t>INICIO</a:t>
          </a:r>
          <a:endParaRPr lang="es-MX" sz="1050" b="1">
            <a:solidFill>
              <a:schemeClr val="bg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176131</xdr:colOff>
      <xdr:row>0</xdr:row>
      <xdr:rowOff>193168</xdr:rowOff>
    </xdr:from>
    <xdr:to>
      <xdr:col>0</xdr:col>
      <xdr:colOff>541891</xdr:colOff>
      <xdr:row>2</xdr:row>
      <xdr:rowOff>202658</xdr:rowOff>
    </xdr:to>
    <xdr:pic>
      <xdr:nvPicPr>
        <xdr:cNvPr id="27" name="Gráfico 26" descr="Home con relleno sólido">
          <a:extLst>
            <a:ext uri="{FF2B5EF4-FFF2-40B4-BE49-F238E27FC236}">
              <a16:creationId xmlns:a16="http://schemas.microsoft.com/office/drawing/2014/main" id="{F21DB8AF-B87C-574A-8D5B-720FC2266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76131" y="193168"/>
          <a:ext cx="365760" cy="365090"/>
        </a:xfrm>
        <a:prstGeom prst="rect">
          <a:avLst/>
        </a:prstGeom>
      </xdr:spPr>
    </xdr:pic>
    <xdr:clientData/>
  </xdr:twoCellAnchor>
  <xdr:twoCellAnchor>
    <xdr:from>
      <xdr:col>2</xdr:col>
      <xdr:colOff>389343</xdr:colOff>
      <xdr:row>0</xdr:row>
      <xdr:rowOff>0</xdr:rowOff>
    </xdr:from>
    <xdr:to>
      <xdr:col>2</xdr:col>
      <xdr:colOff>667445</xdr:colOff>
      <xdr:row>29</xdr:row>
      <xdr:rowOff>176131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173524B5-0C47-C848-A036-2C231F87072C}"/>
            </a:ext>
          </a:extLst>
        </xdr:cNvPr>
        <xdr:cNvSpPr/>
      </xdr:nvSpPr>
      <xdr:spPr>
        <a:xfrm>
          <a:off x="2040343" y="0"/>
          <a:ext cx="278102" cy="615783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577108</xdr:colOff>
      <xdr:row>3</xdr:row>
      <xdr:rowOff>146429</xdr:rowOff>
    </xdr:from>
    <xdr:to>
      <xdr:col>2</xdr:col>
      <xdr:colOff>577107</xdr:colOff>
      <xdr:row>6</xdr:row>
      <xdr:rowOff>58919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5BFC6201-4615-BB46-82E9-BC3A26FE45C6}"/>
            </a:ext>
          </a:extLst>
        </xdr:cNvPr>
        <xdr:cNvSpPr txBox="1"/>
      </xdr:nvSpPr>
      <xdr:spPr>
        <a:xfrm>
          <a:off x="577108" y="763286"/>
          <a:ext cx="1650999" cy="574704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400" b="1">
              <a:solidFill>
                <a:schemeClr val="tx1"/>
              </a:solidFill>
              <a:latin typeface="Abadi" panose="020B0604020104020204" pitchFamily="34" charset="77"/>
            </a:rPr>
            <a:t>FLUJO</a:t>
          </a:r>
          <a:r>
            <a:rPr lang="es-MX" sz="1400" b="1" baseline="0">
              <a:solidFill>
                <a:schemeClr val="tx1"/>
              </a:solidFill>
              <a:latin typeface="Abadi" panose="020B0604020104020204" pitchFamily="34" charset="77"/>
            </a:rPr>
            <a:t> DE PRODUCCIÓN</a:t>
          </a:r>
          <a:endParaRPr lang="es-MX" sz="1050" b="1">
            <a:solidFill>
              <a:schemeClr val="tx1"/>
            </a:solidFill>
            <a:latin typeface="Abadi" panose="020B0604020104020204" pitchFamily="34" charset="77"/>
          </a:endParaRPr>
        </a:p>
      </xdr:txBody>
    </xdr:sp>
    <xdr:clientData/>
  </xdr:twoCellAnchor>
  <xdr:twoCellAnchor editAs="oneCell">
    <xdr:from>
      <xdr:col>0</xdr:col>
      <xdr:colOff>136918</xdr:colOff>
      <xdr:row>4</xdr:row>
      <xdr:rowOff>74490</xdr:rowOff>
    </xdr:from>
    <xdr:to>
      <xdr:col>0</xdr:col>
      <xdr:colOff>502678</xdr:colOff>
      <xdr:row>5</xdr:row>
      <xdr:rowOff>182953</xdr:rowOff>
    </xdr:to>
    <xdr:pic>
      <xdr:nvPicPr>
        <xdr:cNvPr id="29" name="Gráfico 28" descr="Gears con relleno sólido">
          <a:extLst>
            <a:ext uri="{FF2B5EF4-FFF2-40B4-BE49-F238E27FC236}">
              <a16:creationId xmlns:a16="http://schemas.microsoft.com/office/drawing/2014/main" id="{12C35AA6-CFFA-2C48-887D-99793BDCE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136918" y="845561"/>
          <a:ext cx="365760" cy="36246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7471</xdr:rowOff>
    </xdr:from>
    <xdr:to>
      <xdr:col>2</xdr:col>
      <xdr:colOff>519124</xdr:colOff>
      <xdr:row>22</xdr:row>
      <xdr:rowOff>7471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590487CB-3699-F94C-9978-D0412BBEB8C6}"/>
            </a:ext>
          </a:extLst>
        </xdr:cNvPr>
        <xdr:cNvSpPr/>
      </xdr:nvSpPr>
      <xdr:spPr>
        <a:xfrm>
          <a:off x="0" y="7471"/>
          <a:ext cx="2170124" cy="4787900"/>
        </a:xfrm>
        <a:prstGeom prst="rect">
          <a:avLst/>
        </a:prstGeom>
        <a:gradFill>
          <a:gsLst>
            <a:gs pos="0">
              <a:schemeClr val="accent5">
                <a:lumMod val="75000"/>
              </a:schemeClr>
            </a:gs>
            <a:gs pos="100000">
              <a:schemeClr val="accent4">
                <a:lumMod val="75000"/>
              </a:schemeClr>
            </a:gs>
          </a:gsLst>
          <a:lin ang="5400000" scaled="1"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103116</xdr:colOff>
      <xdr:row>4</xdr:row>
      <xdr:rowOff>81643</xdr:rowOff>
    </xdr:from>
    <xdr:to>
      <xdr:col>2</xdr:col>
      <xdr:colOff>566615</xdr:colOff>
      <xdr:row>6</xdr:row>
      <xdr:rowOff>208643</xdr:rowOff>
    </xdr:to>
    <xdr:sp macro="" textlink="">
      <xdr:nvSpPr>
        <xdr:cNvPr id="34" name="Rectángulo redondeado 33">
          <a:extLst>
            <a:ext uri="{FF2B5EF4-FFF2-40B4-BE49-F238E27FC236}">
              <a16:creationId xmlns:a16="http://schemas.microsoft.com/office/drawing/2014/main" id="{0F1F03A6-7AE7-0243-91FD-4CA6D6FEEC61}"/>
            </a:ext>
          </a:extLst>
        </xdr:cNvPr>
        <xdr:cNvSpPr/>
      </xdr:nvSpPr>
      <xdr:spPr>
        <a:xfrm>
          <a:off x="103116" y="852714"/>
          <a:ext cx="2114499" cy="635000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  <a:effectLst>
          <a:outerShdw blurRad="50800" dist="38100" dir="2700000" algn="tl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176131</xdr:colOff>
      <xdr:row>0</xdr:row>
      <xdr:rowOff>193168</xdr:rowOff>
    </xdr:from>
    <xdr:to>
      <xdr:col>2</xdr:col>
      <xdr:colOff>509853</xdr:colOff>
      <xdr:row>2</xdr:row>
      <xdr:rowOff>250980</xdr:rowOff>
    </xdr:to>
    <xdr:grpSp>
      <xdr:nvGrpSpPr>
        <xdr:cNvPr id="46" name="Grupo 45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3519A15B-458D-FA27-D761-74C5FAB8E2B6}"/>
            </a:ext>
          </a:extLst>
        </xdr:cNvPr>
        <xdr:cNvGrpSpPr/>
      </xdr:nvGrpSpPr>
      <xdr:grpSpPr>
        <a:xfrm>
          <a:off x="176131" y="193168"/>
          <a:ext cx="1984722" cy="420669"/>
          <a:chOff x="176131" y="193168"/>
          <a:chExt cx="1984722" cy="420669"/>
        </a:xfrm>
      </xdr:grpSpPr>
      <xdr:sp macro="" textlink="">
        <xdr:nvSpPr>
          <xdr:cNvPr id="35" name="CuadroTexto 34">
            <a:extLst>
              <a:ext uri="{FF2B5EF4-FFF2-40B4-BE49-F238E27FC236}">
                <a16:creationId xmlns:a16="http://schemas.microsoft.com/office/drawing/2014/main" id="{D950908D-13C4-D642-9432-CC3C6841F4BD}"/>
              </a:ext>
            </a:extLst>
          </xdr:cNvPr>
          <xdr:cNvSpPr txBox="1"/>
        </xdr:nvSpPr>
        <xdr:spPr>
          <a:xfrm>
            <a:off x="509853" y="218249"/>
            <a:ext cx="1651000" cy="395588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INICIO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  <xdr:pic>
        <xdr:nvPicPr>
          <xdr:cNvPr id="36" name="Gráfico 35" descr="Home con relleno sólido">
            <a:extLst>
              <a:ext uri="{FF2B5EF4-FFF2-40B4-BE49-F238E27FC236}">
                <a16:creationId xmlns:a16="http://schemas.microsoft.com/office/drawing/2014/main" id="{DAAEC715-7842-F84D-9F73-FAC75469746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96DAC541-7B7A-43D3-8B79-37D633B846F1}">
                <asvg:svgBlip xmlns:asvg="http://schemas.microsoft.com/office/drawing/2016/SVG/main" r:embed="rId8"/>
              </a:ext>
            </a:extLst>
          </a:blip>
          <a:stretch>
            <a:fillRect/>
          </a:stretch>
        </xdr:blipFill>
        <xdr:spPr>
          <a:xfrm>
            <a:off x="176131" y="193168"/>
            <a:ext cx="365760" cy="372347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389343</xdr:colOff>
      <xdr:row>0</xdr:row>
      <xdr:rowOff>0</xdr:rowOff>
    </xdr:from>
    <xdr:to>
      <xdr:col>2</xdr:col>
      <xdr:colOff>667445</xdr:colOff>
      <xdr:row>22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7B8BD1BC-DC70-5B4A-95C7-AF14415074C7}"/>
            </a:ext>
          </a:extLst>
        </xdr:cNvPr>
        <xdr:cNvSpPr/>
      </xdr:nvSpPr>
      <xdr:spPr>
        <a:xfrm>
          <a:off x="2040343" y="0"/>
          <a:ext cx="278102" cy="478790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40000"/>
              <a:lumOff val="6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74707</xdr:colOff>
      <xdr:row>7</xdr:row>
      <xdr:rowOff>118802</xdr:rowOff>
    </xdr:from>
    <xdr:to>
      <xdr:col>2</xdr:col>
      <xdr:colOff>524612</xdr:colOff>
      <xdr:row>10</xdr:row>
      <xdr:rowOff>90714</xdr:rowOff>
    </xdr:to>
    <xdr:grpSp>
      <xdr:nvGrpSpPr>
        <xdr:cNvPr id="48" name="Grupo 47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6D3E57EE-1977-375B-F729-52528E517E09}"/>
            </a:ext>
          </a:extLst>
        </xdr:cNvPr>
        <xdr:cNvGrpSpPr/>
      </xdr:nvGrpSpPr>
      <xdr:grpSpPr>
        <a:xfrm>
          <a:off x="74707" y="1651873"/>
          <a:ext cx="2100905" cy="733912"/>
          <a:chOff x="74707" y="1651873"/>
          <a:chExt cx="2100905" cy="733912"/>
        </a:xfrm>
      </xdr:grpSpPr>
      <xdr:sp macro="" textlink="">
        <xdr:nvSpPr>
          <xdr:cNvPr id="32" name="CuadroTexto 31">
            <a:extLst>
              <a:ext uri="{FF2B5EF4-FFF2-40B4-BE49-F238E27FC236}">
                <a16:creationId xmlns:a16="http://schemas.microsoft.com/office/drawing/2014/main" id="{399341F0-034A-E14A-B5DA-9529E599C020}"/>
              </a:ext>
            </a:extLst>
          </xdr:cNvPr>
          <xdr:cNvSpPr txBox="1"/>
        </xdr:nvSpPr>
        <xdr:spPr>
          <a:xfrm>
            <a:off x="524613" y="1651873"/>
            <a:ext cx="1650999" cy="733912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RADIOGRAFIA</a:t>
            </a:r>
            <a:r>
              <a:rPr lang="es-MX" sz="1400" b="1" baseline="0">
                <a:solidFill>
                  <a:schemeClr val="bg1"/>
                </a:solidFill>
                <a:latin typeface="Abadi" panose="020B0604020104020204" pitchFamily="34" charset="77"/>
              </a:rPr>
              <a:t> REPRODUCTIVA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  <xdr:pic>
        <xdr:nvPicPr>
          <xdr:cNvPr id="40" name="Gráfico 39" descr="Bar chart con relleno sólido">
            <a:extLst>
              <a:ext uri="{FF2B5EF4-FFF2-40B4-BE49-F238E27FC236}">
                <a16:creationId xmlns:a16="http://schemas.microsoft.com/office/drawing/2014/main" id="{A283FD9F-2E95-354E-A847-EFE0E6B8BE7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96DAC541-7B7A-43D3-8B79-37D633B846F1}">
                <asvg:svgBlip xmlns:asvg="http://schemas.microsoft.com/office/drawing/2016/SVG/main" r:embed="rId13"/>
              </a:ext>
            </a:extLst>
          </a:blip>
          <a:stretch>
            <a:fillRect/>
          </a:stretch>
        </xdr:blipFill>
        <xdr:spPr>
          <a:xfrm>
            <a:off x="74707" y="1727306"/>
            <a:ext cx="485589" cy="490071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74707</xdr:colOff>
      <xdr:row>10</xdr:row>
      <xdr:rowOff>170761</xdr:rowOff>
    </xdr:from>
    <xdr:to>
      <xdr:col>2</xdr:col>
      <xdr:colOff>486192</xdr:colOff>
      <xdr:row>13</xdr:row>
      <xdr:rowOff>136072</xdr:rowOff>
    </xdr:to>
    <xdr:grpSp>
      <xdr:nvGrpSpPr>
        <xdr:cNvPr id="49" name="Grupo 48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5E0DF03-4F6B-886A-5214-99C2073725FF}"/>
            </a:ext>
          </a:extLst>
        </xdr:cNvPr>
        <xdr:cNvGrpSpPr/>
      </xdr:nvGrpSpPr>
      <xdr:grpSpPr>
        <a:xfrm>
          <a:off x="74707" y="2465832"/>
          <a:ext cx="2062485" cy="727311"/>
          <a:chOff x="74707" y="2465832"/>
          <a:chExt cx="2062485" cy="727311"/>
        </a:xfrm>
      </xdr:grpSpPr>
      <xdr:sp macro="" textlink="">
        <xdr:nvSpPr>
          <xdr:cNvPr id="33" name="CuadroTexto 32">
            <a:extLst>
              <a:ext uri="{FF2B5EF4-FFF2-40B4-BE49-F238E27FC236}">
                <a16:creationId xmlns:a16="http://schemas.microsoft.com/office/drawing/2014/main" id="{25CBDF59-02F7-6A4F-9A7A-EBC37C809B57}"/>
              </a:ext>
            </a:extLst>
          </xdr:cNvPr>
          <xdr:cNvSpPr txBox="1"/>
        </xdr:nvSpPr>
        <xdr:spPr>
          <a:xfrm>
            <a:off x="486194" y="2465832"/>
            <a:ext cx="1650998" cy="727311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RADIOGRAFIA</a:t>
            </a:r>
            <a:r>
              <a:rPr lang="es-MX" sz="1400" b="1" baseline="0">
                <a:solidFill>
                  <a:schemeClr val="bg1"/>
                </a:solidFill>
                <a:latin typeface="Abadi" panose="020B0604020104020204" pitchFamily="34" charset="77"/>
              </a:rPr>
              <a:t> PRODUCTIVA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  <xdr:pic>
        <xdr:nvPicPr>
          <xdr:cNvPr id="41" name="Gráfico 40" descr="Presentation with bar chart con relleno sólido">
            <a:extLst>
              <a:ext uri="{FF2B5EF4-FFF2-40B4-BE49-F238E27FC236}">
                <a16:creationId xmlns:a16="http://schemas.microsoft.com/office/drawing/2014/main" id="{75246972-9742-6249-AC45-4FEF3F9C415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>
            <a:extLst>
              <a:ext uri="{96DAC541-7B7A-43D3-8B79-37D633B846F1}">
                <asvg:svgBlip xmlns:asvg="http://schemas.microsoft.com/office/drawing/2016/SVG/main" r:embed="rId16"/>
              </a:ext>
            </a:extLst>
          </a:blip>
          <a:stretch>
            <a:fillRect/>
          </a:stretch>
        </xdr:blipFill>
        <xdr:spPr>
          <a:xfrm>
            <a:off x="74707" y="2584291"/>
            <a:ext cx="455706" cy="46018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37353</xdr:colOff>
      <xdr:row>14</xdr:row>
      <xdr:rowOff>74708</xdr:rowOff>
    </xdr:from>
    <xdr:to>
      <xdr:col>2</xdr:col>
      <xdr:colOff>487382</xdr:colOff>
      <xdr:row>18</xdr:row>
      <xdr:rowOff>52293</xdr:rowOff>
    </xdr:to>
    <xdr:grpSp>
      <xdr:nvGrpSpPr>
        <xdr:cNvPr id="50" name="Grupo 49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5A947784-9201-93C8-DB63-47D205AD0B3E}"/>
            </a:ext>
          </a:extLst>
        </xdr:cNvPr>
        <xdr:cNvGrpSpPr/>
      </xdr:nvGrpSpPr>
      <xdr:grpSpPr>
        <a:xfrm>
          <a:off x="37353" y="3385779"/>
          <a:ext cx="2101029" cy="957300"/>
          <a:chOff x="37353" y="3385779"/>
          <a:chExt cx="2101029" cy="884728"/>
        </a:xfrm>
      </xdr:grpSpPr>
      <xdr:sp macro="" textlink="">
        <xdr:nvSpPr>
          <xdr:cNvPr id="39" name="CuadroTexto 38">
            <a:extLst>
              <a:ext uri="{FF2B5EF4-FFF2-40B4-BE49-F238E27FC236}">
                <a16:creationId xmlns:a16="http://schemas.microsoft.com/office/drawing/2014/main" id="{4019D6BA-5DCD-8B4A-BCEE-2E06DFB19987}"/>
              </a:ext>
            </a:extLst>
          </xdr:cNvPr>
          <xdr:cNvSpPr txBox="1"/>
        </xdr:nvSpPr>
        <xdr:spPr>
          <a:xfrm>
            <a:off x="487384" y="3385779"/>
            <a:ext cx="1650998" cy="884728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bg1"/>
                </a:solidFill>
                <a:latin typeface="Abadi" panose="020B0604020104020204" pitchFamily="34" charset="77"/>
              </a:rPr>
              <a:t>BRECHA</a:t>
            </a:r>
            <a:r>
              <a:rPr lang="es-MX" sz="1400" b="1" baseline="0">
                <a:solidFill>
                  <a:schemeClr val="bg1"/>
                </a:solidFill>
                <a:latin typeface="Abadi" panose="020B0604020104020204" pitchFamily="34" charset="77"/>
              </a:rPr>
              <a:t> POTENCIAL PRODUCTIVO</a:t>
            </a:r>
            <a:endParaRPr lang="es-MX" sz="1050" b="1">
              <a:solidFill>
                <a:schemeClr val="bg1"/>
              </a:solidFill>
              <a:latin typeface="Abadi" panose="020B0604020104020204" pitchFamily="34" charset="77"/>
            </a:endParaRPr>
          </a:p>
        </xdr:txBody>
      </xdr:sp>
      <xdr:pic>
        <xdr:nvPicPr>
          <xdr:cNvPr id="42" name="Gráfico 41" descr="Bar graph with upward trend con relleno sólido">
            <a:extLst>
              <a:ext uri="{FF2B5EF4-FFF2-40B4-BE49-F238E27FC236}">
                <a16:creationId xmlns:a16="http://schemas.microsoft.com/office/drawing/2014/main" id="{7066C0A2-331C-8042-88E8-690316375B9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>
            <a:extLst>
              <a:ext uri="{96DAC541-7B7A-43D3-8B79-37D633B846F1}">
                <asvg:svgBlip xmlns:asvg="http://schemas.microsoft.com/office/drawing/2016/SVG/main" r:embed="rId19"/>
              </a:ext>
            </a:extLst>
          </a:blip>
          <a:stretch>
            <a:fillRect/>
          </a:stretch>
        </xdr:blipFill>
        <xdr:spPr>
          <a:xfrm>
            <a:off x="37353" y="3585346"/>
            <a:ext cx="500531" cy="497756"/>
          </a:xfrm>
          <a:prstGeom prst="rect">
            <a:avLst/>
          </a:prstGeom>
        </xdr:spPr>
      </xdr:pic>
    </xdr:grpSp>
    <xdr:clientData/>
  </xdr:twoCellAnchor>
  <xdr:twoCellAnchor editAs="oneCell">
    <xdr:from>
      <xdr:col>8</xdr:col>
      <xdr:colOff>217713</xdr:colOff>
      <xdr:row>0</xdr:row>
      <xdr:rowOff>1</xdr:rowOff>
    </xdr:from>
    <xdr:to>
      <xdr:col>12</xdr:col>
      <xdr:colOff>296815</xdr:colOff>
      <xdr:row>2</xdr:row>
      <xdr:rowOff>208644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D680808-A7C8-E549-9B2D-139A97E505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70" b="15762"/>
        <a:stretch>
          <a:fillRect/>
        </a:stretch>
      </xdr:blipFill>
      <xdr:spPr>
        <a:xfrm>
          <a:off x="6622142" y="1"/>
          <a:ext cx="1965959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36286</xdr:colOff>
      <xdr:row>20</xdr:row>
      <xdr:rowOff>16543</xdr:rowOff>
    </xdr:from>
    <xdr:to>
      <xdr:col>2</xdr:col>
      <xdr:colOff>131267</xdr:colOff>
      <xdr:row>22</xdr:row>
      <xdr:rowOff>16542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0EE0E16-0876-8D46-9F82-BF373DB218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14" t="19806" r="4279" b="17203"/>
        <a:stretch>
          <a:fillRect/>
        </a:stretch>
      </xdr:blipFill>
      <xdr:spPr>
        <a:xfrm>
          <a:off x="36286" y="4742757"/>
          <a:ext cx="1745981" cy="507999"/>
        </a:xfrm>
        <a:prstGeom prst="rect">
          <a:avLst/>
        </a:prstGeom>
      </xdr:spPr>
    </xdr:pic>
    <xdr:clientData/>
  </xdr:twoCellAnchor>
  <xdr:twoCellAnchor>
    <xdr:from>
      <xdr:col>0</xdr:col>
      <xdr:colOff>136387</xdr:colOff>
      <xdr:row>4</xdr:row>
      <xdr:rowOff>64786</xdr:rowOff>
    </xdr:from>
    <xdr:to>
      <xdr:col>2</xdr:col>
      <xdr:colOff>486393</xdr:colOff>
      <xdr:row>7</xdr:row>
      <xdr:rowOff>45357</xdr:rowOff>
    </xdr:to>
    <xdr:grpSp>
      <xdr:nvGrpSpPr>
        <xdr:cNvPr id="47" name="Grupo 46">
          <a:extLst>
            <a:ext uri="{FF2B5EF4-FFF2-40B4-BE49-F238E27FC236}">
              <a16:creationId xmlns:a16="http://schemas.microsoft.com/office/drawing/2014/main" id="{A074D0C0-3AA0-8A22-83EA-EE97B6363A1F}"/>
            </a:ext>
          </a:extLst>
        </xdr:cNvPr>
        <xdr:cNvGrpSpPr/>
      </xdr:nvGrpSpPr>
      <xdr:grpSpPr>
        <a:xfrm>
          <a:off x="136387" y="835857"/>
          <a:ext cx="2001006" cy="742571"/>
          <a:chOff x="136387" y="835857"/>
          <a:chExt cx="2001006" cy="742571"/>
        </a:xfrm>
      </xdr:grpSpPr>
      <xdr:pic>
        <xdr:nvPicPr>
          <xdr:cNvPr id="38" name="Gráfico 37" descr="Gears con relleno sólido">
            <a:extLst>
              <a:ext uri="{FF2B5EF4-FFF2-40B4-BE49-F238E27FC236}">
                <a16:creationId xmlns:a16="http://schemas.microsoft.com/office/drawing/2014/main" id="{1188BA25-7172-9B42-94DA-760AF4BF3F4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136387" y="949086"/>
            <a:ext cx="365760" cy="362463"/>
          </a:xfrm>
          <a:prstGeom prst="rect">
            <a:avLst/>
          </a:prstGeom>
        </xdr:spPr>
      </xdr:pic>
      <xdr:sp macro="" textlink="">
        <xdr:nvSpPr>
          <xdr:cNvPr id="31" name="CuadroTexto 30">
            <a:extLst>
              <a:ext uri="{FF2B5EF4-FFF2-40B4-BE49-F238E27FC236}">
                <a16:creationId xmlns:a16="http://schemas.microsoft.com/office/drawing/2014/main" id="{B3A2E510-3B4C-D241-A025-6D5A0C36C5FB}"/>
              </a:ext>
            </a:extLst>
          </xdr:cNvPr>
          <xdr:cNvSpPr txBox="1"/>
        </xdr:nvSpPr>
        <xdr:spPr>
          <a:xfrm>
            <a:off x="486394" y="835857"/>
            <a:ext cx="1650999" cy="742571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s-MX" sz="1400" b="1">
                <a:solidFill>
                  <a:schemeClr val="tx1"/>
                </a:solidFill>
                <a:latin typeface="Abadi" panose="020B0604020104020204" pitchFamily="34" charset="77"/>
              </a:rPr>
              <a:t>CONFIGURACIÓN PRODUCTIVA</a:t>
            </a:r>
            <a:endParaRPr lang="es-MX" sz="1050" b="1">
              <a:solidFill>
                <a:schemeClr val="tx1"/>
              </a:solidFill>
              <a:latin typeface="Abadi" panose="020B0604020104020204" pitchFamily="34" charset="77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331655</xdr:colOff>
      <xdr:row>5</xdr:row>
      <xdr:rowOff>137516</xdr:rowOff>
    </xdr:from>
    <xdr:to>
      <xdr:col>16</xdr:col>
      <xdr:colOff>8089</xdr:colOff>
      <xdr:row>9</xdr:row>
      <xdr:rowOff>48536</xdr:rowOff>
    </xdr:to>
    <xdr:sp macro="" textlink="">
      <xdr:nvSpPr>
        <xdr:cNvPr id="12" name="Rectángulo redondeado 11">
          <a:extLst>
            <a:ext uri="{FF2B5EF4-FFF2-40B4-BE49-F238E27FC236}">
              <a16:creationId xmlns:a16="http://schemas.microsoft.com/office/drawing/2014/main" id="{CDADC3AA-9F39-26F5-456D-CBD88AE13B80}"/>
            </a:ext>
          </a:extLst>
        </xdr:cNvPr>
        <xdr:cNvSpPr/>
      </xdr:nvSpPr>
      <xdr:spPr>
        <a:xfrm>
          <a:off x="331655" y="1108217"/>
          <a:ext cx="10637262" cy="841274"/>
        </a:xfrm>
        <a:prstGeom prst="roundRect">
          <a:avLst/>
        </a:prstGeom>
        <a:noFill/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schemeClr val="bg1">
              <a:lumMod val="75000"/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14</xdr:col>
      <xdr:colOff>784537</xdr:colOff>
      <xdr:row>2</xdr:row>
      <xdr:rowOff>57907</xdr:rowOff>
    </xdr:from>
    <xdr:to>
      <xdr:col>15</xdr:col>
      <xdr:colOff>728025</xdr:colOff>
      <xdr:row>4</xdr:row>
      <xdr:rowOff>57906</xdr:rowOff>
    </xdr:to>
    <xdr:sp macro="" textlink="">
      <xdr:nvSpPr>
        <xdr:cNvPr id="4" name="Rectángulo redondead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4CF77C2-0235-B34C-B844-E9F70F8D11A8}"/>
            </a:ext>
          </a:extLst>
        </xdr:cNvPr>
        <xdr:cNvSpPr/>
      </xdr:nvSpPr>
      <xdr:spPr>
        <a:xfrm>
          <a:off x="10095174" y="446187"/>
          <a:ext cx="768583" cy="388280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600">
              <a:solidFill>
                <a:schemeClr val="bg1"/>
              </a:solidFill>
            </a:rPr>
            <a:t>MENÚ</a:t>
          </a:r>
        </a:p>
      </xdr:txBody>
    </xdr:sp>
    <xdr:clientData/>
  </xdr:twoCellAnchor>
  <xdr:twoCellAnchor editAs="oneCell">
    <xdr:from>
      <xdr:col>1</xdr:col>
      <xdr:colOff>40446</xdr:colOff>
      <xdr:row>0</xdr:row>
      <xdr:rowOff>105159</xdr:rowOff>
    </xdr:from>
    <xdr:to>
      <xdr:col>1</xdr:col>
      <xdr:colOff>766878</xdr:colOff>
      <xdr:row>3</xdr:row>
      <xdr:rowOff>153694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0284DE5-9ED4-A343-A2A0-ACDFE3EB19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70" r="66531" b="15762"/>
        <a:stretch>
          <a:fillRect/>
        </a:stretch>
      </xdr:blipFill>
      <xdr:spPr>
        <a:xfrm>
          <a:off x="396370" y="105159"/>
          <a:ext cx="726432" cy="6309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331655</xdr:colOff>
      <xdr:row>5</xdr:row>
      <xdr:rowOff>137516</xdr:rowOff>
    </xdr:from>
    <xdr:to>
      <xdr:col>16</xdr:col>
      <xdr:colOff>8089</xdr:colOff>
      <xdr:row>9</xdr:row>
      <xdr:rowOff>48536</xdr:rowOff>
    </xdr:to>
    <xdr:sp macro="" textlink="">
      <xdr:nvSpPr>
        <xdr:cNvPr id="2" name="Rectángulo redondeado 1">
          <a:extLst>
            <a:ext uri="{FF2B5EF4-FFF2-40B4-BE49-F238E27FC236}">
              <a16:creationId xmlns:a16="http://schemas.microsoft.com/office/drawing/2014/main" id="{76EAE694-96ED-D141-95C9-DC1F8A8F3FE9}"/>
            </a:ext>
          </a:extLst>
        </xdr:cNvPr>
        <xdr:cNvSpPr/>
      </xdr:nvSpPr>
      <xdr:spPr>
        <a:xfrm>
          <a:off x="331655" y="1090016"/>
          <a:ext cx="10636534" cy="850820"/>
        </a:xfrm>
        <a:prstGeom prst="roundRect">
          <a:avLst/>
        </a:prstGeom>
        <a:noFill/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schemeClr val="bg1">
              <a:lumMod val="75000"/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14</xdr:col>
      <xdr:colOff>389467</xdr:colOff>
      <xdr:row>1</xdr:row>
      <xdr:rowOff>24041</xdr:rowOff>
    </xdr:from>
    <xdr:to>
      <xdr:col>15</xdr:col>
      <xdr:colOff>617959</xdr:colOff>
      <xdr:row>3</xdr:row>
      <xdr:rowOff>24039</xdr:rowOff>
    </xdr:to>
    <xdr:sp macro="" textlink="">
      <xdr:nvSpPr>
        <xdr:cNvPr id="3" name="Rectángulo redondead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95E04C3-A6D6-D14D-BFAE-49BBCD95F55A}"/>
            </a:ext>
          </a:extLst>
        </xdr:cNvPr>
        <xdr:cNvSpPr/>
      </xdr:nvSpPr>
      <xdr:spPr>
        <a:xfrm>
          <a:off x="10151534" y="218774"/>
          <a:ext cx="1058225" cy="389465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600">
              <a:solidFill>
                <a:schemeClr val="bg1"/>
              </a:solidFill>
            </a:rPr>
            <a:t>MENÚ</a:t>
          </a:r>
        </a:p>
      </xdr:txBody>
    </xdr:sp>
    <xdr:clientData/>
  </xdr:twoCellAnchor>
  <xdr:twoCellAnchor>
    <xdr:from>
      <xdr:col>1</xdr:col>
      <xdr:colOff>55815</xdr:colOff>
      <xdr:row>12</xdr:row>
      <xdr:rowOff>8089</xdr:rowOff>
    </xdr:from>
    <xdr:to>
      <xdr:col>4</xdr:col>
      <xdr:colOff>800828</xdr:colOff>
      <xdr:row>23</xdr:row>
      <xdr:rowOff>202230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F4AE7BD-F36C-3939-1828-CC39FAB1AF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56625</xdr:colOff>
      <xdr:row>12</xdr:row>
      <xdr:rowOff>24266</xdr:rowOff>
    </xdr:from>
    <xdr:to>
      <xdr:col>15</xdr:col>
      <xdr:colOff>728026</xdr:colOff>
      <xdr:row>23</xdr:row>
      <xdr:rowOff>169872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F5DBC0C6-E2CB-9747-80BA-9ED91C5CB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101600</xdr:colOff>
      <xdr:row>0</xdr:row>
      <xdr:rowOff>67733</xdr:rowOff>
    </xdr:from>
    <xdr:to>
      <xdr:col>1</xdr:col>
      <xdr:colOff>828032</xdr:colOff>
      <xdr:row>3</xdr:row>
      <xdr:rowOff>114488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0E8D06B-258E-D449-9A73-44049AE885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70" r="66531" b="15762"/>
        <a:stretch>
          <a:fillRect/>
        </a:stretch>
      </xdr:blipFill>
      <xdr:spPr>
        <a:xfrm>
          <a:off x="457200" y="67733"/>
          <a:ext cx="726432" cy="6309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331655</xdr:colOff>
      <xdr:row>5</xdr:row>
      <xdr:rowOff>137516</xdr:rowOff>
    </xdr:from>
    <xdr:to>
      <xdr:col>16</xdr:col>
      <xdr:colOff>8089</xdr:colOff>
      <xdr:row>9</xdr:row>
      <xdr:rowOff>48536</xdr:rowOff>
    </xdr:to>
    <xdr:sp macro="" textlink="">
      <xdr:nvSpPr>
        <xdr:cNvPr id="2" name="Rectángulo redondeado 1">
          <a:extLst>
            <a:ext uri="{FF2B5EF4-FFF2-40B4-BE49-F238E27FC236}">
              <a16:creationId xmlns:a16="http://schemas.microsoft.com/office/drawing/2014/main" id="{7BC8C034-D666-1C4C-988F-65B019BED8D8}"/>
            </a:ext>
          </a:extLst>
        </xdr:cNvPr>
        <xdr:cNvSpPr/>
      </xdr:nvSpPr>
      <xdr:spPr>
        <a:xfrm>
          <a:off x="331655" y="1090016"/>
          <a:ext cx="11042934" cy="850820"/>
        </a:xfrm>
        <a:prstGeom prst="roundRect">
          <a:avLst/>
        </a:prstGeom>
        <a:noFill/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schemeClr val="bg1">
              <a:lumMod val="75000"/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14</xdr:col>
      <xdr:colOff>118533</xdr:colOff>
      <xdr:row>1</xdr:row>
      <xdr:rowOff>24041</xdr:rowOff>
    </xdr:from>
    <xdr:to>
      <xdr:col>15</xdr:col>
      <xdr:colOff>634999</xdr:colOff>
      <xdr:row>3</xdr:row>
      <xdr:rowOff>24039</xdr:rowOff>
    </xdr:to>
    <xdr:sp macro="" textlink="">
      <xdr:nvSpPr>
        <xdr:cNvPr id="3" name="Rectángulo redondead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4E2250-BA16-1247-8B0B-726450711CBA}"/>
            </a:ext>
          </a:extLst>
        </xdr:cNvPr>
        <xdr:cNvSpPr/>
      </xdr:nvSpPr>
      <xdr:spPr>
        <a:xfrm>
          <a:off x="9880600" y="218774"/>
          <a:ext cx="1346199" cy="389465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600">
              <a:solidFill>
                <a:schemeClr val="bg1"/>
              </a:solidFill>
            </a:rPr>
            <a:t>MENÚ</a:t>
          </a:r>
        </a:p>
      </xdr:txBody>
    </xdr:sp>
    <xdr:clientData/>
  </xdr:twoCellAnchor>
  <xdr:twoCellAnchor>
    <xdr:from>
      <xdr:col>1</xdr:col>
      <xdr:colOff>47349</xdr:colOff>
      <xdr:row>12</xdr:row>
      <xdr:rowOff>101223</xdr:rowOff>
    </xdr:from>
    <xdr:to>
      <xdr:col>4</xdr:col>
      <xdr:colOff>792362</xdr:colOff>
      <xdr:row>23</xdr:row>
      <xdr:rowOff>295364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8C7E4FD-F30D-AC4E-BE7F-5709DA8A6D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726432</xdr:colOff>
      <xdr:row>3</xdr:row>
      <xdr:rowOff>46755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DA6EA5F-6862-FE44-AC12-9695FE7C96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70" r="66531" b="15762"/>
        <a:stretch>
          <a:fillRect/>
        </a:stretch>
      </xdr:blipFill>
      <xdr:spPr>
        <a:xfrm>
          <a:off x="355600" y="0"/>
          <a:ext cx="726432" cy="6309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1C273-9E0F-6845-A42E-5463C46A160B}">
  <sheetPr>
    <tabColor theme="9" tint="-0.499984740745262"/>
  </sheetPr>
  <dimension ref="A1:O22"/>
  <sheetViews>
    <sheetView showGridLines="0" tabSelected="1" zoomScale="170" zoomScaleNormal="170" workbookViewId="0">
      <pane xSplit="3" topLeftCell="D1" activePane="topRight" state="frozen"/>
      <selection pane="topRight" activeCell="G4" sqref="G4"/>
    </sheetView>
  </sheetViews>
  <sheetFormatPr baseColWidth="10" defaultColWidth="0" defaultRowHeight="16" zeroHeight="1" x14ac:dyDescent="0.2"/>
  <cols>
    <col min="1" max="2" width="10.83203125" customWidth="1"/>
    <col min="3" max="3" width="8.83203125" customWidth="1"/>
    <col min="4" max="4" width="4.33203125" customWidth="1"/>
    <col min="5" max="5" width="4.83203125" customWidth="1"/>
    <col min="6" max="6" width="11.83203125" customWidth="1"/>
    <col min="7" max="7" width="8.83203125" style="2" customWidth="1"/>
    <col min="8" max="8" width="7.83203125" customWidth="1"/>
    <col min="9" max="9" width="8.83203125" customWidth="1"/>
    <col min="10" max="10" width="7.83203125" customWidth="1"/>
    <col min="11" max="11" width="4.6640625" customWidth="1"/>
    <col min="12" max="15" width="10.83203125" customWidth="1"/>
    <col min="16" max="16384" width="10.83203125" hidden="1"/>
  </cols>
  <sheetData>
    <row r="1" spans="5:10" x14ac:dyDescent="0.2"/>
    <row r="2" spans="5:10" ht="19" x14ac:dyDescent="0.25">
      <c r="E2" s="115" t="s">
        <v>67</v>
      </c>
      <c r="F2" s="115"/>
      <c r="G2" s="115"/>
      <c r="H2" s="115"/>
      <c r="I2" s="115"/>
      <c r="J2" s="115"/>
    </row>
    <row r="3" spans="5:10" x14ac:dyDescent="0.2"/>
    <row r="4" spans="5:10" ht="20" customHeight="1" x14ac:dyDescent="0.2">
      <c r="E4" s="116" t="s">
        <v>5</v>
      </c>
      <c r="F4" s="116"/>
      <c r="G4" s="178">
        <v>500</v>
      </c>
      <c r="I4" s="114" t="s">
        <v>69</v>
      </c>
      <c r="J4" s="114"/>
    </row>
    <row r="5" spans="5:10" x14ac:dyDescent="0.2">
      <c r="H5" s="1"/>
      <c r="I5" s="1"/>
    </row>
    <row r="6" spans="5:10" x14ac:dyDescent="0.2">
      <c r="G6" s="117" t="s">
        <v>14</v>
      </c>
      <c r="H6" s="117"/>
      <c r="I6" s="117" t="s">
        <v>15</v>
      </c>
      <c r="J6" s="117"/>
    </row>
    <row r="7" spans="5:10" ht="19" customHeight="1" x14ac:dyDescent="0.2">
      <c r="E7" s="10"/>
      <c r="F7" s="9" t="s">
        <v>18</v>
      </c>
      <c r="G7" s="7" t="s">
        <v>16</v>
      </c>
      <c r="H7" s="8" t="s">
        <v>17</v>
      </c>
      <c r="I7" s="7" t="s">
        <v>16</v>
      </c>
      <c r="J7" s="8" t="s">
        <v>17</v>
      </c>
    </row>
    <row r="8" spans="5:10" ht="19" customHeight="1" x14ac:dyDescent="0.2">
      <c r="E8" s="118" t="s">
        <v>19</v>
      </c>
      <c r="F8" s="4" t="s">
        <v>1</v>
      </c>
      <c r="G8" s="11">
        <f>G4*H8</f>
        <v>30</v>
      </c>
      <c r="H8" s="5">
        <v>0.06</v>
      </c>
      <c r="I8" s="179">
        <v>30</v>
      </c>
      <c r="J8" s="5">
        <f>I8/G4</f>
        <v>0.06</v>
      </c>
    </row>
    <row r="9" spans="5:10" ht="19" customHeight="1" x14ac:dyDescent="0.2">
      <c r="E9" s="119"/>
      <c r="F9" s="4" t="s">
        <v>0</v>
      </c>
      <c r="G9" s="11">
        <f>H9*G4</f>
        <v>365</v>
      </c>
      <c r="H9" s="5">
        <v>0.73</v>
      </c>
      <c r="I9" s="179">
        <v>365</v>
      </c>
      <c r="J9" s="5">
        <f>I9/G4</f>
        <v>0.73</v>
      </c>
    </row>
    <row r="10" spans="5:10" ht="19" customHeight="1" x14ac:dyDescent="0.2">
      <c r="E10" s="119"/>
      <c r="F10" s="4" t="s">
        <v>2</v>
      </c>
      <c r="G10" s="11">
        <f>H10*G4</f>
        <v>85</v>
      </c>
      <c r="H10" s="5">
        <v>0.17</v>
      </c>
      <c r="I10" s="179">
        <v>85</v>
      </c>
      <c r="J10" s="6">
        <f>I10/G4</f>
        <v>0.17</v>
      </c>
    </row>
    <row r="11" spans="5:10" ht="19" customHeight="1" x14ac:dyDescent="0.2">
      <c r="E11" s="119"/>
      <c r="F11" s="4" t="s">
        <v>3</v>
      </c>
      <c r="G11" s="12">
        <f>H11*G4</f>
        <v>20</v>
      </c>
      <c r="H11" s="5">
        <v>0.04</v>
      </c>
      <c r="I11" s="179">
        <v>20</v>
      </c>
      <c r="J11" s="6">
        <f>I11/G4</f>
        <v>0.04</v>
      </c>
    </row>
    <row r="12" spans="5:10" ht="19" customHeight="1" x14ac:dyDescent="0.2">
      <c r="E12" s="120"/>
      <c r="F12" s="13" t="s">
        <v>4</v>
      </c>
      <c r="G12" s="14">
        <f>SUM(G8:G11)</f>
        <v>500</v>
      </c>
      <c r="H12" s="15">
        <f>SUM(H8:H11)</f>
        <v>1</v>
      </c>
      <c r="I12" s="16">
        <f>SUM(I8:I11)</f>
        <v>500</v>
      </c>
      <c r="J12" s="17">
        <f>SUM(J8:J11)</f>
        <v>1</v>
      </c>
    </row>
    <row r="13" spans="5:10" x14ac:dyDescent="0.2"/>
    <row r="14" spans="5:10" ht="19" x14ac:dyDescent="0.25">
      <c r="G14" s="113" t="s">
        <v>43</v>
      </c>
      <c r="H14" s="113"/>
      <c r="I14" s="113"/>
      <c r="J14" s="105" t="str">
        <f>ROUND(
100-(
ABS((J8-H8)*100)+
ABS((J9-H9)*100)+
ABS((J10-H10)*100)+
ABS((J11-H11)*100)
),0)&amp;"%"</f>
        <v>100%</v>
      </c>
    </row>
    <row r="15" spans="5:10" x14ac:dyDescent="0.2"/>
    <row r="16" spans="5:10" x14ac:dyDescent="0.2"/>
    <row r="17" spans="6:8" x14ac:dyDescent="0.2">
      <c r="F17" s="19" t="s">
        <v>22</v>
      </c>
      <c r="G17" s="20" t="s">
        <v>11</v>
      </c>
      <c r="H17" s="21" t="s">
        <v>21</v>
      </c>
    </row>
    <row r="18" spans="6:8" x14ac:dyDescent="0.2">
      <c r="F18" s="4" t="s">
        <v>10</v>
      </c>
      <c r="G18" s="18">
        <v>16</v>
      </c>
      <c r="H18" s="18">
        <f>G18*7</f>
        <v>112</v>
      </c>
    </row>
    <row r="19" spans="6:8" x14ac:dyDescent="0.2">
      <c r="F19" s="4" t="s">
        <v>12</v>
      </c>
      <c r="G19" s="110">
        <v>4</v>
      </c>
      <c r="H19" s="180">
        <f t="shared" ref="H19:H20" si="0">G19*7</f>
        <v>28</v>
      </c>
    </row>
    <row r="20" spans="6:8" x14ac:dyDescent="0.2">
      <c r="F20" s="4" t="s">
        <v>20</v>
      </c>
      <c r="G20" s="18">
        <v>1</v>
      </c>
      <c r="H20" s="18">
        <f t="shared" si="0"/>
        <v>7</v>
      </c>
    </row>
    <row r="21" spans="6:8" x14ac:dyDescent="0.2">
      <c r="F21" s="13" t="s">
        <v>13</v>
      </c>
      <c r="G21" s="16">
        <f>SUM(G18:G20)</f>
        <v>21</v>
      </c>
      <c r="H21" s="16">
        <f>SUM(H18:H20)</f>
        <v>147</v>
      </c>
    </row>
    <row r="22" spans="6:8" x14ac:dyDescent="0.2"/>
  </sheetData>
  <sheetProtection algorithmName="SHA-512" hashValue="2xgnbLE/Smlj6K3dhwHhP7KVp9F13msC8j1bmGJjyOZz10CFxlc73vq3X/Kw6dql2G0yodcLp3AD1JMIZv5aNg==" saltValue="R2C9Xq1n75Cw9maT7vbQ6A==" spinCount="100000" sheet="1" objects="1" scenarios="1" selectLockedCells="1"/>
  <mergeCells count="7">
    <mergeCell ref="G14:I14"/>
    <mergeCell ref="I4:J4"/>
    <mergeCell ref="E2:J2"/>
    <mergeCell ref="E4:F4"/>
    <mergeCell ref="G6:H6"/>
    <mergeCell ref="I6:J6"/>
    <mergeCell ref="E8:E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7606A-7BD1-1247-B422-24C5E0EE6A0F}">
  <sheetPr>
    <tabColor theme="8" tint="-0.499984740745262"/>
  </sheetPr>
  <dimension ref="A1:U24"/>
  <sheetViews>
    <sheetView showGridLines="0" zoomScale="140" zoomScaleNormal="140" workbookViewId="0">
      <pane xSplit="3" topLeftCell="D1" activePane="topRight" state="frozen"/>
      <selection pane="topRight" activeCell="F22" sqref="F22"/>
    </sheetView>
  </sheetViews>
  <sheetFormatPr baseColWidth="10" defaultColWidth="0" defaultRowHeight="16" zeroHeight="1" x14ac:dyDescent="0.2"/>
  <cols>
    <col min="1" max="2" width="10.83203125" customWidth="1"/>
    <col min="3" max="3" width="8.83203125" customWidth="1"/>
    <col min="4" max="4" width="4.33203125" customWidth="1"/>
    <col min="5" max="5" width="26.33203125" customWidth="1"/>
    <col min="6" max="6" width="8.83203125" customWidth="1"/>
    <col min="7" max="7" width="7.1640625" style="2" customWidth="1"/>
    <col min="8" max="8" width="7" customWidth="1"/>
    <col min="9" max="9" width="3.83203125" customWidth="1"/>
    <col min="10" max="10" width="6.83203125" style="1" customWidth="1"/>
    <col min="11" max="11" width="6.1640625" style="1" customWidth="1"/>
    <col min="12" max="12" width="8" customWidth="1"/>
    <col min="13" max="13" width="7.5" bestFit="1" customWidth="1"/>
    <col min="14" max="14" width="7.5" style="165" hidden="1" customWidth="1"/>
    <col min="15" max="15" width="4" customWidth="1"/>
    <col min="16" max="16" width="6.83203125" style="1" customWidth="1"/>
    <col min="17" max="17" width="6.1640625" style="1" customWidth="1"/>
    <col min="18" max="18" width="8" customWidth="1"/>
    <col min="19" max="19" width="6.1640625" customWidth="1"/>
    <col min="20" max="20" width="6.1640625" style="165" hidden="1" customWidth="1"/>
    <col min="21" max="21" width="3.6640625" customWidth="1"/>
    <col min="22" max="16384" width="10.83203125" hidden="1"/>
  </cols>
  <sheetData>
    <row r="1" spans="4:20" ht="19" x14ac:dyDescent="0.25">
      <c r="E1" s="115" t="s">
        <v>68</v>
      </c>
      <c r="F1" s="115"/>
      <c r="G1" s="115"/>
      <c r="H1" s="115"/>
    </row>
    <row r="2" spans="4:20" ht="9" customHeight="1" x14ac:dyDescent="0.25">
      <c r="E2" s="30"/>
      <c r="F2" s="30"/>
      <c r="G2" s="30"/>
      <c r="H2" s="30"/>
    </row>
    <row r="3" spans="4:20" ht="20" customHeight="1" x14ac:dyDescent="0.2">
      <c r="E3" s="27" t="s">
        <v>5</v>
      </c>
      <c r="F3" s="29">
        <v>300</v>
      </c>
    </row>
    <row r="4" spans="4:20" ht="12" customHeight="1" x14ac:dyDescent="0.2">
      <c r="D4" s="31"/>
      <c r="G4"/>
    </row>
    <row r="5" spans="4:20" ht="20" customHeight="1" x14ac:dyDescent="0.2">
      <c r="E5" s="9" t="s">
        <v>18</v>
      </c>
      <c r="F5" s="7" t="s">
        <v>6</v>
      </c>
      <c r="G5" s="7" t="s">
        <v>7</v>
      </c>
      <c r="H5" s="7" t="s">
        <v>35</v>
      </c>
      <c r="J5" s="7" t="s">
        <v>36</v>
      </c>
      <c r="K5" s="7" t="s">
        <v>37</v>
      </c>
      <c r="L5" s="7" t="s">
        <v>38</v>
      </c>
      <c r="M5" s="7" t="s">
        <v>39</v>
      </c>
      <c r="N5" s="166"/>
      <c r="P5" s="7" t="s">
        <v>36</v>
      </c>
      <c r="Q5" s="7" t="s">
        <v>37</v>
      </c>
      <c r="R5" s="7" t="s">
        <v>38</v>
      </c>
      <c r="S5" s="7" t="s">
        <v>39</v>
      </c>
      <c r="T5" s="166"/>
    </row>
    <row r="6" spans="4:20" ht="20" customHeight="1" x14ac:dyDescent="0.2">
      <c r="E6" s="4" t="s">
        <v>23</v>
      </c>
      <c r="F6" s="24">
        <f>F3/Inicio!G21</f>
        <v>14.285714285714286</v>
      </c>
      <c r="G6" s="106">
        <v>14</v>
      </c>
      <c r="H6" s="12">
        <f t="shared" ref="H6:H15" si="0">G6-F6</f>
        <v>-0.28571428571428648</v>
      </c>
      <c r="J6" s="3">
        <v>6</v>
      </c>
      <c r="K6" s="3">
        <f>K7+1</f>
        <v>10</v>
      </c>
      <c r="L6" s="12">
        <f>L11*M6</f>
        <v>153.26</v>
      </c>
      <c r="M6" s="26">
        <f>M7-N6</f>
        <v>0.97</v>
      </c>
      <c r="N6" s="167">
        <v>0.01</v>
      </c>
      <c r="P6" s="3">
        <v>19</v>
      </c>
      <c r="Q6" s="3">
        <f t="shared" ref="Q6:Q16" si="1">Q7+1</f>
        <v>23</v>
      </c>
      <c r="R6" s="171">
        <f t="shared" ref="R6:R16" si="2">$F$15*S6</f>
        <v>148.51999999999998</v>
      </c>
      <c r="S6" s="26">
        <f t="shared" ref="S6:S16" si="3">S7</f>
        <v>0.94</v>
      </c>
      <c r="T6" s="167"/>
    </row>
    <row r="7" spans="4:20" ht="20" customHeight="1" x14ac:dyDescent="0.2">
      <c r="E7" s="4" t="s">
        <v>8</v>
      </c>
      <c r="F7" s="22">
        <v>0.9</v>
      </c>
      <c r="G7" s="107">
        <v>0.85</v>
      </c>
      <c r="H7" s="6">
        <f t="shared" si="0"/>
        <v>-5.0000000000000044E-2</v>
      </c>
      <c r="J7" s="3">
        <v>5</v>
      </c>
      <c r="K7" s="3">
        <f>K8+1</f>
        <v>9</v>
      </c>
      <c r="L7" s="12">
        <f>L11*M7</f>
        <v>154.84</v>
      </c>
      <c r="M7" s="26">
        <f>M8</f>
        <v>0.98</v>
      </c>
      <c r="N7" s="167"/>
      <c r="P7" s="3">
        <v>18</v>
      </c>
      <c r="Q7" s="3">
        <f t="shared" si="1"/>
        <v>22</v>
      </c>
      <c r="R7" s="171">
        <f t="shared" si="2"/>
        <v>148.51999999999998</v>
      </c>
      <c r="S7" s="26">
        <f t="shared" si="3"/>
        <v>0.94</v>
      </c>
      <c r="T7" s="167"/>
    </row>
    <row r="8" spans="4:20" ht="20" customHeight="1" x14ac:dyDescent="0.2">
      <c r="E8" s="4" t="s">
        <v>24</v>
      </c>
      <c r="F8" s="24">
        <f>F6*F7</f>
        <v>12.857142857142858</v>
      </c>
      <c r="G8" s="37">
        <f>G6*G7</f>
        <v>11.9</v>
      </c>
      <c r="H8" s="12">
        <f t="shared" si="0"/>
        <v>-0.9571428571428573</v>
      </c>
      <c r="J8" s="3">
        <v>4</v>
      </c>
      <c r="K8" s="3">
        <f>K9+1</f>
        <v>8</v>
      </c>
      <c r="L8" s="12">
        <f>L11*M8</f>
        <v>154.84</v>
      </c>
      <c r="M8" s="26">
        <f>M9-N8</f>
        <v>0.98</v>
      </c>
      <c r="N8" s="167">
        <v>0.01</v>
      </c>
      <c r="P8" s="3">
        <v>17</v>
      </c>
      <c r="Q8" s="3">
        <f t="shared" si="1"/>
        <v>21</v>
      </c>
      <c r="R8" s="171">
        <f t="shared" si="2"/>
        <v>148.51999999999998</v>
      </c>
      <c r="S8" s="26">
        <f t="shared" si="3"/>
        <v>0.94</v>
      </c>
      <c r="T8" s="167"/>
    </row>
    <row r="9" spans="4:20" ht="20" customHeight="1" x14ac:dyDescent="0.2">
      <c r="E9" s="4" t="s">
        <v>25</v>
      </c>
      <c r="F9" s="23">
        <v>14.5</v>
      </c>
      <c r="G9" s="108">
        <v>14</v>
      </c>
      <c r="H9" s="12">
        <f t="shared" si="0"/>
        <v>-0.5</v>
      </c>
      <c r="J9" s="3">
        <v>3</v>
      </c>
      <c r="K9" s="3">
        <f>K10+1</f>
        <v>7</v>
      </c>
      <c r="L9" s="12">
        <f>L11*M9</f>
        <v>156.41999999999999</v>
      </c>
      <c r="M9" s="26">
        <f>M10</f>
        <v>0.99</v>
      </c>
      <c r="N9" s="167"/>
      <c r="P9" s="3">
        <v>16</v>
      </c>
      <c r="Q9" s="3">
        <f t="shared" si="1"/>
        <v>20</v>
      </c>
      <c r="R9" s="171">
        <f t="shared" si="2"/>
        <v>148.51999999999998</v>
      </c>
      <c r="S9" s="26">
        <f>S10-T9</f>
        <v>0.94</v>
      </c>
      <c r="T9" s="167">
        <v>0.01</v>
      </c>
    </row>
    <row r="10" spans="4:20" ht="20" customHeight="1" x14ac:dyDescent="0.2">
      <c r="E10" s="4" t="s">
        <v>9</v>
      </c>
      <c r="F10" s="22">
        <v>0.08</v>
      </c>
      <c r="G10" s="109">
        <v>0.08</v>
      </c>
      <c r="H10" s="6">
        <f t="shared" si="0"/>
        <v>0</v>
      </c>
      <c r="J10" s="3">
        <v>2</v>
      </c>
      <c r="K10" s="3">
        <f>K11+1</f>
        <v>6</v>
      </c>
      <c r="L10" s="12">
        <f>L11*M10</f>
        <v>156.41999999999999</v>
      </c>
      <c r="M10" s="26">
        <f>M11-N10</f>
        <v>0.99</v>
      </c>
      <c r="N10" s="167">
        <v>0.01</v>
      </c>
      <c r="P10" s="3">
        <v>15</v>
      </c>
      <c r="Q10" s="3">
        <f t="shared" si="1"/>
        <v>19</v>
      </c>
      <c r="R10" s="171">
        <f t="shared" si="2"/>
        <v>150.1</v>
      </c>
      <c r="S10" s="26">
        <f t="shared" si="3"/>
        <v>0.95</v>
      </c>
      <c r="T10" s="167"/>
    </row>
    <row r="11" spans="4:20" ht="20" customHeight="1" x14ac:dyDescent="0.2">
      <c r="E11" s="4" t="s">
        <v>26</v>
      </c>
      <c r="F11" s="24">
        <f>F9*(1-F10)</f>
        <v>13.34</v>
      </c>
      <c r="G11" s="24">
        <f>G9*(1-G10)</f>
        <v>12.88</v>
      </c>
      <c r="H11" s="25">
        <f t="shared" si="0"/>
        <v>-0.45999999999999908</v>
      </c>
      <c r="J11" s="3">
        <v>1</v>
      </c>
      <c r="K11" s="3">
        <v>5</v>
      </c>
      <c r="L11" s="12">
        <f>F15</f>
        <v>158</v>
      </c>
      <c r="M11" s="5">
        <f>L11/$F$15</f>
        <v>1</v>
      </c>
      <c r="N11" s="168"/>
      <c r="P11" s="3">
        <v>14</v>
      </c>
      <c r="Q11" s="3">
        <f t="shared" si="1"/>
        <v>18</v>
      </c>
      <c r="R11" s="171">
        <f t="shared" si="2"/>
        <v>150.1</v>
      </c>
      <c r="S11" s="26">
        <f t="shared" si="3"/>
        <v>0.95</v>
      </c>
      <c r="T11" s="167"/>
    </row>
    <row r="12" spans="4:20" ht="20" customHeight="1" x14ac:dyDescent="0.2">
      <c r="E12" s="4" t="s">
        <v>31</v>
      </c>
      <c r="F12" s="12">
        <f>(F11*F8)*52/12</f>
        <v>743.2285714285714</v>
      </c>
      <c r="G12" s="12">
        <f>(G11*G8)*52/12</f>
        <v>664.1786666666668</v>
      </c>
      <c r="H12" s="12">
        <f t="shared" si="0"/>
        <v>-79.0499047619046</v>
      </c>
      <c r="J12" s="122" t="s">
        <v>51</v>
      </c>
      <c r="K12" s="123"/>
      <c r="L12" s="172">
        <f>SUM(L6:L11)</f>
        <v>933.78</v>
      </c>
      <c r="M12" s="42"/>
      <c r="N12" s="169"/>
      <c r="P12" s="3">
        <v>13</v>
      </c>
      <c r="Q12" s="3">
        <f t="shared" si="1"/>
        <v>17</v>
      </c>
      <c r="R12" s="171">
        <f t="shared" si="2"/>
        <v>150.1</v>
      </c>
      <c r="S12" s="26">
        <f t="shared" si="3"/>
        <v>0.95</v>
      </c>
      <c r="T12" s="167"/>
    </row>
    <row r="13" spans="4:20" ht="20" customHeight="1" x14ac:dyDescent="0.2">
      <c r="E13" s="4" t="s">
        <v>32</v>
      </c>
      <c r="F13" s="5">
        <v>0.08</v>
      </c>
      <c r="G13" s="107">
        <v>0.1</v>
      </c>
      <c r="H13" s="36">
        <f t="shared" si="0"/>
        <v>2.0000000000000004E-2</v>
      </c>
      <c r="J13" s="125" t="s">
        <v>50</v>
      </c>
      <c r="K13" s="125"/>
      <c r="L13" s="110">
        <v>934</v>
      </c>
      <c r="M13" s="28"/>
      <c r="N13" s="170"/>
      <c r="P13" s="3">
        <v>12</v>
      </c>
      <c r="Q13" s="3">
        <f t="shared" si="1"/>
        <v>16</v>
      </c>
      <c r="R13" s="171">
        <f t="shared" si="2"/>
        <v>150.1</v>
      </c>
      <c r="S13" s="26">
        <f>S14-T13</f>
        <v>0.95</v>
      </c>
      <c r="T13" s="167">
        <v>0.01</v>
      </c>
    </row>
    <row r="14" spans="4:20" ht="20" customHeight="1" x14ac:dyDescent="0.2">
      <c r="E14" s="4" t="s">
        <v>33</v>
      </c>
      <c r="F14" s="25">
        <f>F12*(1-F13)</f>
        <v>683.77028571428571</v>
      </c>
      <c r="G14" s="25">
        <f>G12*(1-G13)</f>
        <v>597.76080000000013</v>
      </c>
      <c r="H14" s="38">
        <f t="shared" si="0"/>
        <v>-86.009485714285574</v>
      </c>
      <c r="J14" s="90"/>
      <c r="K14" s="90"/>
      <c r="L14" s="121"/>
      <c r="P14" s="39">
        <v>11</v>
      </c>
      <c r="Q14" s="3">
        <f t="shared" si="1"/>
        <v>15</v>
      </c>
      <c r="R14" s="171">
        <f t="shared" si="2"/>
        <v>151.68</v>
      </c>
      <c r="S14" s="26">
        <f t="shared" si="3"/>
        <v>0.96</v>
      </c>
      <c r="T14" s="167"/>
    </row>
    <row r="15" spans="4:20" ht="20" customHeight="1" x14ac:dyDescent="0.2">
      <c r="E15" s="4" t="s">
        <v>34</v>
      </c>
      <c r="F15" s="37">
        <f>ROUND((VALUE(F14)*12)/52, 0)</f>
        <v>158</v>
      </c>
      <c r="G15" s="24">
        <f>(G14*12)/52</f>
        <v>137.94480000000004</v>
      </c>
      <c r="H15" s="12">
        <f t="shared" si="0"/>
        <v>-20.055199999999957</v>
      </c>
      <c r="J15" s="90"/>
      <c r="K15" s="90"/>
      <c r="L15" s="121"/>
      <c r="P15" s="39">
        <v>10</v>
      </c>
      <c r="Q15" s="3">
        <f t="shared" si="1"/>
        <v>14</v>
      </c>
      <c r="R15" s="171">
        <f t="shared" si="2"/>
        <v>151.68</v>
      </c>
      <c r="S15" s="26">
        <f t="shared" si="3"/>
        <v>0.96</v>
      </c>
      <c r="T15" s="167"/>
    </row>
    <row r="16" spans="4:20" ht="17" customHeight="1" x14ac:dyDescent="0.2">
      <c r="E16" s="32"/>
      <c r="F16" s="33"/>
      <c r="G16" s="33"/>
      <c r="H16" s="33"/>
      <c r="P16" s="3">
        <v>9</v>
      </c>
      <c r="Q16" s="3">
        <f t="shared" si="1"/>
        <v>13</v>
      </c>
      <c r="R16" s="171">
        <f t="shared" si="2"/>
        <v>151.68</v>
      </c>
      <c r="S16" s="26">
        <f>S17-T16</f>
        <v>0.96</v>
      </c>
      <c r="T16" s="167">
        <v>0.01</v>
      </c>
    </row>
    <row r="17" spans="5:20" ht="20" customHeight="1" x14ac:dyDescent="0.2">
      <c r="E17" s="4" t="s">
        <v>46</v>
      </c>
      <c r="F17" s="73">
        <f>G15/F15</f>
        <v>0.87306835443038</v>
      </c>
      <c r="G17" s="33"/>
      <c r="H17" s="33"/>
      <c r="P17" s="3">
        <v>8</v>
      </c>
      <c r="Q17" s="3">
        <f>Q18+1</f>
        <v>12</v>
      </c>
      <c r="R17" s="171">
        <f>$F$15*S17</f>
        <v>153.26</v>
      </c>
      <c r="S17" s="26">
        <f>S18</f>
        <v>0.97</v>
      </c>
      <c r="T17" s="167"/>
    </row>
    <row r="18" spans="5:20" ht="20" customHeight="1" x14ac:dyDescent="0.2">
      <c r="E18" s="32"/>
      <c r="F18" s="34"/>
      <c r="G18" s="34"/>
      <c r="H18" s="35"/>
      <c r="P18" s="3">
        <v>7</v>
      </c>
      <c r="Q18" s="3">
        <f>K6+1</f>
        <v>11</v>
      </c>
      <c r="R18" s="171">
        <f>$F$15*S18</f>
        <v>153.26</v>
      </c>
      <c r="S18" s="26">
        <f>M6</f>
        <v>0.97</v>
      </c>
      <c r="T18" s="167"/>
    </row>
    <row r="19" spans="5:20" ht="20" customHeight="1" x14ac:dyDescent="0.2">
      <c r="E19" s="40" t="s">
        <v>61</v>
      </c>
      <c r="F19" s="97">
        <f>ROUND(ABS(VALUE(R6)*52/12), 0)</f>
        <v>644</v>
      </c>
      <c r="G19" s="100" t="s">
        <v>6</v>
      </c>
      <c r="H19" s="33"/>
      <c r="P19" s="122" t="s">
        <v>51</v>
      </c>
      <c r="Q19" s="123"/>
      <c r="R19" s="41">
        <f>SUM(R6:R18)</f>
        <v>1956.04</v>
      </c>
      <c r="S19" s="42"/>
      <c r="T19" s="169"/>
    </row>
    <row r="20" spans="5:20" ht="20" customHeight="1" x14ac:dyDescent="0.2">
      <c r="E20" s="99" t="s">
        <v>62</v>
      </c>
      <c r="F20" s="111">
        <v>630</v>
      </c>
      <c r="G20" s="101" t="s">
        <v>7</v>
      </c>
      <c r="H20" s="35"/>
      <c r="P20" s="125" t="s">
        <v>50</v>
      </c>
      <c r="Q20" s="125"/>
      <c r="R20" s="110">
        <v>1956</v>
      </c>
    </row>
    <row r="21" spans="5:20" ht="20" customHeight="1" x14ac:dyDescent="0.2">
      <c r="E21" s="4" t="s">
        <v>59</v>
      </c>
      <c r="F21" s="73">
        <f>F20/F19</f>
        <v>0.97826086956521741</v>
      </c>
      <c r="G21" s="18"/>
    </row>
    <row r="22" spans="5:20" ht="20" customHeight="1" x14ac:dyDescent="0.2">
      <c r="E22" s="102" t="s">
        <v>63</v>
      </c>
      <c r="F22" s="112">
        <v>50</v>
      </c>
      <c r="G22" s="18" t="s">
        <v>64</v>
      </c>
      <c r="P22" s="124"/>
      <c r="Q22" s="124"/>
      <c r="R22" s="121"/>
    </row>
    <row r="23" spans="5:20" ht="30" customHeight="1" x14ac:dyDescent="0.2">
      <c r="E23" s="99" t="s">
        <v>65</v>
      </c>
      <c r="F23" s="126">
        <f>(F20-F19)*F22</f>
        <v>-700</v>
      </c>
      <c r="G23" s="127"/>
      <c r="P23" s="124"/>
      <c r="Q23" s="124"/>
      <c r="R23" s="121"/>
    </row>
    <row r="24" spans="5:20" x14ac:dyDescent="0.2"/>
  </sheetData>
  <sheetProtection algorithmName="SHA-512" hashValue="+T3skH2imOe7G0dc3tXfFv32G5ZLGQ16QbcxrryhRO57dr4qos+Y+ppBNdz3yd261BVlqTAlcGNbRHERmcWz3A==" saltValue="TODQkWJQWEf67B8GZGJ9lA==" spinCount="100000" sheet="1" objects="1" scenarios="1" selectLockedCells="1"/>
  <mergeCells count="9">
    <mergeCell ref="E1:H1"/>
    <mergeCell ref="L14:L15"/>
    <mergeCell ref="J12:K12"/>
    <mergeCell ref="P22:Q23"/>
    <mergeCell ref="R22:R23"/>
    <mergeCell ref="J13:K13"/>
    <mergeCell ref="P19:Q19"/>
    <mergeCell ref="P20:Q20"/>
    <mergeCell ref="F23:G23"/>
  </mergeCells>
  <conditionalFormatting sqref="I8">
    <cfRule type="colorScale" priority="1">
      <colorScale>
        <cfvo type="min"/>
        <cfvo type="max"/>
        <color rgb="FFFF7128"/>
        <color rgb="FFFFEF9C"/>
      </colorScale>
    </cfRule>
    <cfRule type="iconSet" priority="2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ignoredErrors>
    <ignoredError sqref="M10 M7:M9 L9 S16 S13 S9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78BD0-CA1B-B642-8842-390022E85517}">
  <sheetPr>
    <tabColor theme="7" tint="-0.499984740745262"/>
  </sheetPr>
  <dimension ref="A1:Y1048568"/>
  <sheetViews>
    <sheetView showGridLines="0" zoomScale="157" zoomScaleNormal="150" workbookViewId="0">
      <selection activeCell="N21" sqref="N21"/>
      <extLst>
        <ext xmlns:xlsdti="http://schemas.microsoft.com/office/spreadsheetml/2023/showDataTypeIcons" uri="{77bfe23e-c014-4d31-8a63-9c772dbf06b6}">
          <xlsdti:showDataTypeIcons visible="0"/>
        </ext>
      </extLst>
    </sheetView>
  </sheetViews>
  <sheetFormatPr baseColWidth="10" defaultColWidth="0" defaultRowHeight="15" customHeight="1" zeroHeight="1" x14ac:dyDescent="0.2"/>
  <cols>
    <col min="1" max="1" width="4.6640625" style="45" customWidth="1"/>
    <col min="2" max="4" width="10.83203125" style="45" customWidth="1"/>
    <col min="5" max="5" width="3.1640625" style="45" customWidth="1"/>
    <col min="6" max="6" width="10.83203125" style="45" customWidth="1"/>
    <col min="7" max="7" width="11" style="45" customWidth="1"/>
    <col min="8" max="8" width="10.83203125" style="45" customWidth="1"/>
    <col min="9" max="9" width="3.1640625" style="45" customWidth="1"/>
    <col min="10" max="12" width="10.83203125" style="45" customWidth="1"/>
    <col min="13" max="13" width="2.6640625" style="45" customWidth="1"/>
    <col min="14" max="16" width="10.83203125" style="45" customWidth="1"/>
    <col min="17" max="17" width="4.33203125" style="45" customWidth="1"/>
    <col min="18" max="16384" width="10.83203125" style="45" hidden="1"/>
  </cols>
  <sheetData>
    <row r="1" spans="2:25" ht="15" customHeight="1" x14ac:dyDescent="0.2">
      <c r="B1" s="129" t="s">
        <v>40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44"/>
      <c r="Y1" s="46">
        <v>1</v>
      </c>
    </row>
    <row r="2" spans="2:25" ht="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44"/>
      <c r="Y2" s="46">
        <v>0</v>
      </c>
    </row>
    <row r="3" spans="2:25" ht="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44"/>
      <c r="Y3" s="46">
        <v>0</v>
      </c>
    </row>
    <row r="4" spans="2:25" ht="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44"/>
      <c r="Y4" s="46">
        <f>Y1+Y2+Y3</f>
        <v>1</v>
      </c>
    </row>
    <row r="5" spans="2:25" ht="15" customHeight="1" x14ac:dyDescent="0.2">
      <c r="B5" s="43"/>
      <c r="C5" s="43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43"/>
      <c r="Q5" s="44"/>
    </row>
    <row r="6" spans="2:25" ht="14" customHeight="1" x14ac:dyDescent="0.2"/>
    <row r="7" spans="2:25" ht="20" customHeight="1" x14ac:dyDescent="0.2">
      <c r="B7" s="142" t="s">
        <v>44</v>
      </c>
      <c r="C7" s="142"/>
      <c r="D7" s="142"/>
      <c r="E7" s="142"/>
      <c r="F7" s="142"/>
      <c r="G7" s="142"/>
      <c r="H7" s="142"/>
      <c r="I7" s="142"/>
      <c r="J7" s="142" t="str">
        <f>Inicio!J14</f>
        <v>100%</v>
      </c>
      <c r="K7" s="142"/>
      <c r="L7" s="164" t="str">
        <f>IF(VALUE(J7)&gt;=0.9, "ÓPTIMO", IF(VALUE(J7)&gt;=0.85, "ACEPTABLE", "DEFICIENTE"))</f>
        <v>ÓPTIMO</v>
      </c>
      <c r="M7" s="164"/>
      <c r="N7" s="164"/>
      <c r="O7" s="144" t="str">
        <f>IF(L7="ÓPTIMO","🟢",IF(L7="ACEPTABLE","🟡","🔴"))</f>
        <v>🟢</v>
      </c>
      <c r="P7" s="144"/>
    </row>
    <row r="8" spans="2:25" ht="20" customHeight="1" x14ac:dyDescent="0.2">
      <c r="B8" s="142"/>
      <c r="C8" s="142"/>
      <c r="D8" s="142"/>
      <c r="E8" s="142"/>
      <c r="F8" s="142"/>
      <c r="G8" s="142"/>
      <c r="H8" s="142"/>
      <c r="I8" s="142"/>
      <c r="J8" s="142"/>
      <c r="K8" s="142"/>
      <c r="L8" s="164"/>
      <c r="M8" s="164"/>
      <c r="N8" s="164"/>
      <c r="O8" s="144"/>
      <c r="P8" s="144"/>
    </row>
    <row r="9" spans="2:25" ht="20" customHeight="1" x14ac:dyDescent="0.2"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64"/>
      <c r="M9" s="164"/>
      <c r="N9" s="164"/>
      <c r="O9" s="144"/>
      <c r="P9" s="144"/>
    </row>
    <row r="10" spans="2:25" ht="12" customHeight="1" x14ac:dyDescent="0.2"/>
    <row r="11" spans="2:25" ht="22" customHeight="1" x14ac:dyDescent="0.3">
      <c r="B11" s="145" t="s">
        <v>27</v>
      </c>
      <c r="C11" s="145"/>
      <c r="D11" s="145"/>
      <c r="E11" s="51"/>
      <c r="F11" s="146" t="s">
        <v>28</v>
      </c>
      <c r="G11" s="146"/>
      <c r="H11" s="146"/>
      <c r="I11" s="54"/>
      <c r="J11" s="146" t="s">
        <v>29</v>
      </c>
      <c r="K11" s="146"/>
      <c r="L11" s="146"/>
      <c r="N11" s="146" t="s">
        <v>30</v>
      </c>
      <c r="O11" s="146"/>
      <c r="P11" s="146"/>
    </row>
    <row r="12" spans="2:25" ht="15" customHeight="1" x14ac:dyDescent="0.3">
      <c r="B12" s="145"/>
      <c r="C12" s="145"/>
      <c r="D12" s="145"/>
      <c r="E12" s="51"/>
      <c r="F12" s="146"/>
      <c r="G12" s="146"/>
      <c r="H12" s="146"/>
      <c r="I12" s="54"/>
      <c r="J12" s="146"/>
      <c r="K12" s="146"/>
      <c r="L12" s="146"/>
      <c r="N12" s="146"/>
      <c r="O12" s="146"/>
      <c r="P12" s="146"/>
    </row>
    <row r="13" spans="2:25" ht="11" customHeight="1" x14ac:dyDescent="0.3">
      <c r="B13" s="71"/>
      <c r="C13" s="71"/>
      <c r="D13" s="71"/>
      <c r="E13" s="51"/>
      <c r="F13" s="72"/>
      <c r="G13" s="72"/>
      <c r="H13" s="72"/>
      <c r="I13" s="54"/>
      <c r="J13" s="72"/>
      <c r="K13" s="72"/>
      <c r="L13" s="72"/>
      <c r="N13" s="72"/>
      <c r="O13" s="72"/>
      <c r="P13" s="72"/>
    </row>
    <row r="14" spans="2:25" ht="15" customHeight="1" x14ac:dyDescent="0.2">
      <c r="B14" s="131" t="s">
        <v>41</v>
      </c>
      <c r="C14" s="131"/>
      <c r="D14" s="132">
        <f>Inicio!H8</f>
        <v>0.06</v>
      </c>
      <c r="E14" s="44"/>
      <c r="F14" s="131" t="s">
        <v>41</v>
      </c>
      <c r="G14" s="131"/>
      <c r="H14" s="132">
        <f>Inicio!H9</f>
        <v>0.73</v>
      </c>
      <c r="I14" s="44"/>
      <c r="J14" s="131" t="s">
        <v>41</v>
      </c>
      <c r="K14" s="131"/>
      <c r="L14" s="132">
        <f>Inicio!H10</f>
        <v>0.17</v>
      </c>
      <c r="N14" s="131" t="s">
        <v>41</v>
      </c>
      <c r="O14" s="131"/>
      <c r="P14" s="132">
        <f>Inicio!H11</f>
        <v>0.04</v>
      </c>
    </row>
    <row r="15" spans="2:25" ht="15" customHeight="1" x14ac:dyDescent="0.2">
      <c r="B15" s="131"/>
      <c r="C15" s="131"/>
      <c r="D15" s="132"/>
      <c r="E15" s="52"/>
      <c r="F15" s="131"/>
      <c r="G15" s="131"/>
      <c r="H15" s="132"/>
      <c r="I15" s="44"/>
      <c r="J15" s="131"/>
      <c r="K15" s="131"/>
      <c r="L15" s="132"/>
      <c r="N15" s="131"/>
      <c r="O15" s="131"/>
      <c r="P15" s="132"/>
    </row>
    <row r="16" spans="2:25" ht="15" customHeight="1" x14ac:dyDescent="0.2">
      <c r="B16" s="131" t="s">
        <v>42</v>
      </c>
      <c r="C16" s="131"/>
      <c r="D16" s="133">
        <f>Inicio!J8</f>
        <v>0.06</v>
      </c>
      <c r="E16" s="52"/>
      <c r="F16" s="131" t="s">
        <v>42</v>
      </c>
      <c r="G16" s="131"/>
      <c r="H16" s="133">
        <f>Inicio!J9</f>
        <v>0.73</v>
      </c>
      <c r="I16" s="55"/>
      <c r="J16" s="131" t="s">
        <v>42</v>
      </c>
      <c r="K16" s="131"/>
      <c r="L16" s="133">
        <f>Inicio!J10</f>
        <v>0.17</v>
      </c>
      <c r="N16" s="131" t="s">
        <v>42</v>
      </c>
      <c r="O16" s="131"/>
      <c r="P16" s="133">
        <f>Inicio!J11</f>
        <v>0.04</v>
      </c>
    </row>
    <row r="17" spans="2:16" ht="15" customHeight="1" x14ac:dyDescent="0.2">
      <c r="B17" s="131"/>
      <c r="C17" s="131"/>
      <c r="D17" s="134"/>
      <c r="E17" s="52"/>
      <c r="F17" s="131"/>
      <c r="G17" s="131"/>
      <c r="H17" s="134"/>
      <c r="I17" s="55"/>
      <c r="J17" s="131"/>
      <c r="K17" s="131"/>
      <c r="L17" s="134"/>
      <c r="N17" s="131"/>
      <c r="O17" s="131"/>
      <c r="P17" s="134"/>
    </row>
    <row r="18" spans="2:16" ht="15" customHeight="1" x14ac:dyDescent="0.2">
      <c r="B18" s="47"/>
      <c r="C18" s="60"/>
      <c r="D18" s="60"/>
      <c r="E18" s="52"/>
      <c r="F18" s="47"/>
      <c r="G18" s="53"/>
      <c r="H18" s="53"/>
      <c r="I18" s="55"/>
      <c r="J18" s="62"/>
      <c r="K18" s="63"/>
      <c r="L18" s="48"/>
      <c r="N18" s="47"/>
      <c r="O18" s="64"/>
      <c r="P18" s="64"/>
    </row>
    <row r="19" spans="2:16" ht="15" customHeight="1" x14ac:dyDescent="0.2">
      <c r="B19" s="135" t="str">
        <f>IF(AND(ROUND(VALUE(D16),2)&gt;=0.05, ROUND(VALUE(D16),2)&lt;=0.07), "ÓPTIMO", IF(OR(AND(ROUND(VALUE(D16),2)&gt;=0.04, ROUND(VALUE(D16),2)&lt;0.05), AND(ROUND(VALUE(D16),2)&gt;0.07, ROUND(VALUE(D16),2)&lt;=0.08)), "ACEPTABLE", "DEFICIENTE"))</f>
        <v>ÓPTIMO</v>
      </c>
      <c r="C19" s="135"/>
      <c r="D19" s="136" t="str">
        <f>IF(B19="ÓPTIMO","🟢",IF(B19="ACEPTABLE","🟡","🔴"))</f>
        <v>🟢</v>
      </c>
      <c r="E19" s="52"/>
      <c r="F19" s="139" t="str">
        <f>IF(AND(ROUND(VALUE(H16),2)&gt;=0.72, ROUND(VALUE(H16),2)&lt;=0.74), "ÓPTIMO", IF(OR(AND(ROUND(VALUE(H16),2)&gt;=0.69, ROUND(VALUE(H16),2)&lt;0.72), AND(ROUND(VALUE(H16),2)&gt;0.74, ROUND(VALUE(H16),2)&lt;=0.76)), "ACEPTABLE", "DEFICIENTE"))</f>
        <v>ÓPTIMO</v>
      </c>
      <c r="G19" s="139"/>
      <c r="H19" s="141" t="str">
        <f>IF(F19="ÓPTIMO","🟢",IF(F19="ACEPTABLE","🟡","🔴"))</f>
        <v>🟢</v>
      </c>
      <c r="I19" s="55"/>
      <c r="J19" s="135" t="str">
        <f>IF(AND(ROUND(VALUE(L16),2)&gt;=0.17, ROUND(VALUE(L16),2)&lt;=0.17), "ÓPTIMO", IF(OR(AND(ROUND(VALUE(L16),2)&gt;=0.14, ROUND(VALUE(L16),2)&lt;0.17), AND(ROUND(VALUE(L16),2)&gt;0.17, ROUND(VALUE(L16),2)&lt;=0.2)), "ACEPTABLE", "DEFICIENTE"))</f>
        <v>ÓPTIMO</v>
      </c>
      <c r="K19" s="135"/>
      <c r="L19" s="141" t="str">
        <f>IF(J19="ÓPTIMO","🟢",IF(J19="ACEPTABLE","🟡","🔴"))</f>
        <v>🟢</v>
      </c>
      <c r="N19" s="140" t="str">
        <f>IF(AND(ROUND(VALUE(P16),2)&gt;=0.03, ROUND(VALUE(P16),2)&lt;=0.05), "ÓPTIMO", IF(OR(ROUND(VALUE(P16),2)=0.02, ROUND(VALUE(P16),2)=0.06), "ACEPTABLE", "DEFICIENTE"))</f>
        <v>ÓPTIMO</v>
      </c>
      <c r="O19" s="140"/>
      <c r="P19" s="141" t="str">
        <f>IF(N19="ÓPTIMO","🟢",IF(N19="ACEPTABLE","🟡","🔴"))</f>
        <v>🟢</v>
      </c>
    </row>
    <row r="20" spans="2:16" ht="15" customHeight="1" x14ac:dyDescent="0.2">
      <c r="B20" s="135"/>
      <c r="C20" s="135"/>
      <c r="D20" s="136"/>
      <c r="E20" s="52"/>
      <c r="F20" s="139"/>
      <c r="G20" s="139"/>
      <c r="H20" s="141"/>
      <c r="I20" s="44"/>
      <c r="J20" s="135"/>
      <c r="K20" s="135"/>
      <c r="L20" s="141"/>
      <c r="N20" s="140"/>
      <c r="O20" s="140"/>
      <c r="P20" s="141"/>
    </row>
    <row r="21" spans="2:16" ht="14" customHeight="1" x14ac:dyDescent="0.2">
      <c r="B21" s="66"/>
      <c r="C21" s="66"/>
      <c r="D21" s="69"/>
      <c r="E21" s="52"/>
      <c r="F21" s="67"/>
      <c r="G21" s="67"/>
      <c r="H21" s="65"/>
      <c r="I21" s="44"/>
      <c r="J21" s="66"/>
      <c r="K21" s="66"/>
      <c r="L21" s="65"/>
      <c r="N21" s="68"/>
      <c r="O21" s="68"/>
      <c r="P21" s="65"/>
    </row>
    <row r="22" spans="2:16" ht="18" customHeight="1" x14ac:dyDescent="0.2">
      <c r="B22" s="137" t="str">
        <f>IF(B19="ÓPTIMO",
"Tu inventario de reemplazos es adecuado para sostener la renovación futura del hato reproductivo.",
IF(B19="ACEPTABLE",
"El inventario presenta ligeras desviaciones que podrían afectar la estabilidad futura del flujo reproductivo.",
"La actual variación en el  inventario de reemplazos podría comprometer la renovación futura de cerdas productivas."))</f>
        <v>Tu inventario de reemplazos es adecuado para sostener la renovación futura del hato reproductivo.</v>
      </c>
      <c r="C22" s="137"/>
      <c r="D22" s="137"/>
      <c r="E22" s="44"/>
      <c r="F22" s="137" t="str">
        <f>IF(F19="ÓPTIMO",
"Tu inventario de cerdas gestantes es adecuado para sostener el flujo esperado de partos y lechones destetados.",
IF(F19="ACEPTABLE",
"El inventario gestante presenta ligeras desviaciones que podrían afectar parcialmente el flujo futuro de producción.",
"La cantidad actual de cerdas gestantes podría limitar significativamente el flujo futuro de partos y destetes."))</f>
        <v>Tu inventario de cerdas gestantes es adecuado para sostener el flujo esperado de partos y lechones destetados.</v>
      </c>
      <c r="G22" s="137"/>
      <c r="H22" s="137"/>
      <c r="I22" s="58"/>
      <c r="J22" s="138" t="str">
        <f>IF(J19="ÓPTIMO",
"Tu inventario de cerdas lactantes es adecuado para sostener el flujo esperado de lechones destetados.",
IF(J19="ACEPTABLE",
"El inventario lactante presenta ligeras desviaciones que podrían afectar parcialmente el flujo de destetes.",
"La cantidad actual de cerdas lactantes podría alterar significativamente el flujo en la producción de lechones destetados."))</f>
        <v>Tu inventario de cerdas lactantes es adecuado para sostener el flujo esperado de lechones destetados.</v>
      </c>
      <c r="K22" s="138"/>
      <c r="L22" s="138"/>
      <c r="N22" s="137" t="str">
        <f>IF(N19="ÓPTIMO",
"Tu inventario de cerdas vacías se encuentra dentro de un rango adecuado para sostener la eficiencia reproductiva.",
IF(N19="ACEPTABLE",
"El inventario de cerdas vacías presenta una desviación moderada que podría afectar parcialmente el flujo productivo.",
"La variación extrema de cerdas vacías podría comprometer seriamente la eficiencia reproductiva y la rentabilidad de la granja."))</f>
        <v>Tu inventario de cerdas vacías se encuentra dentro de un rango adecuado para sostener la eficiencia reproductiva.</v>
      </c>
      <c r="O22" s="137"/>
      <c r="P22" s="137"/>
    </row>
    <row r="23" spans="2:16" ht="18" customHeight="1" x14ac:dyDescent="0.2">
      <c r="B23" s="137"/>
      <c r="C23" s="137"/>
      <c r="D23" s="137"/>
      <c r="E23" s="44"/>
      <c r="F23" s="137"/>
      <c r="G23" s="137"/>
      <c r="H23" s="137"/>
      <c r="I23" s="57"/>
      <c r="J23" s="138"/>
      <c r="K23" s="138"/>
      <c r="L23" s="138"/>
      <c r="N23" s="137"/>
      <c r="O23" s="137"/>
      <c r="P23" s="137"/>
    </row>
    <row r="24" spans="2:16" ht="29" customHeight="1" x14ac:dyDescent="0.2">
      <c r="B24" s="137"/>
      <c r="C24" s="137"/>
      <c r="D24" s="137"/>
      <c r="F24" s="137"/>
      <c r="G24" s="137"/>
      <c r="H24" s="137"/>
      <c r="I24" s="44"/>
      <c r="J24" s="138"/>
      <c r="K24" s="138"/>
      <c r="L24" s="138"/>
      <c r="N24" s="137"/>
      <c r="O24" s="137"/>
      <c r="P24" s="137"/>
    </row>
    <row r="25" spans="2:16" ht="19" hidden="1" customHeight="1" x14ac:dyDescent="0.2">
      <c r="B25" s="49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49"/>
    </row>
    <row r="26" spans="2:16" ht="30" hidden="1" customHeight="1" x14ac:dyDescent="0.2">
      <c r="B26" s="49"/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49"/>
    </row>
    <row r="1048568" ht="21" hidden="1" customHeight="1" x14ac:dyDescent="0.2"/>
  </sheetData>
  <sheetProtection algorithmName="SHA-512" hashValue="9O5Y04h3Kmtd0KLYDdk3iZHU86MzcciiI9Om7LBaFA6kiZBKoeq/vsEed0V++AGgLRq6WpPkoG2QJNSiF8vgwA==" saltValue="hjKlfyult30qrQCLecWKDw==" spinCount="100000" sheet="1" objects="1" scenarios="1" selectLockedCells="1"/>
  <mergeCells count="39">
    <mergeCell ref="B7:I9"/>
    <mergeCell ref="J7:K9"/>
    <mergeCell ref="L7:N9"/>
    <mergeCell ref="O7:P9"/>
    <mergeCell ref="B11:D12"/>
    <mergeCell ref="F11:H12"/>
    <mergeCell ref="J11:L12"/>
    <mergeCell ref="N11:P12"/>
    <mergeCell ref="F22:H24"/>
    <mergeCell ref="J22:L24"/>
    <mergeCell ref="N22:P24"/>
    <mergeCell ref="P14:P15"/>
    <mergeCell ref="P16:P17"/>
    <mergeCell ref="F19:G20"/>
    <mergeCell ref="J19:K20"/>
    <mergeCell ref="N19:O20"/>
    <mergeCell ref="H19:H20"/>
    <mergeCell ref="L19:L20"/>
    <mergeCell ref="P19:P20"/>
    <mergeCell ref="F14:G15"/>
    <mergeCell ref="F16:G17"/>
    <mergeCell ref="J14:K15"/>
    <mergeCell ref="J16:K17"/>
    <mergeCell ref="C25:O26"/>
    <mergeCell ref="B1:P4"/>
    <mergeCell ref="D5:O5"/>
    <mergeCell ref="B14:C15"/>
    <mergeCell ref="D14:D15"/>
    <mergeCell ref="B16:C17"/>
    <mergeCell ref="D16:D17"/>
    <mergeCell ref="B19:C20"/>
    <mergeCell ref="D19:D20"/>
    <mergeCell ref="N14:O15"/>
    <mergeCell ref="N16:O17"/>
    <mergeCell ref="H14:H15"/>
    <mergeCell ref="H16:H17"/>
    <mergeCell ref="L14:L15"/>
    <mergeCell ref="L16:L17"/>
    <mergeCell ref="B22:D24"/>
  </mergeCells>
  <conditionalFormatting sqref="B25:B26">
    <cfRule type="expression" dxfId="64" priority="24">
      <formula>IF(G14&lt;=1.35,"Interpretación: La conversión del Sitio 2 se encuentra en rango óptimo. Mantener el manejo actual y continuar monitoreando el consumo.","")</formula>
    </cfRule>
  </conditionalFormatting>
  <conditionalFormatting sqref="B19:C21">
    <cfRule type="containsText" dxfId="63" priority="19" operator="containsText" text="DEFICIENTE">
      <formula>NOT(ISERROR(SEARCH("DEFICIENTE",B19)))</formula>
    </cfRule>
    <cfRule type="containsText" dxfId="62" priority="20" operator="containsText" text="ACEPTABLE">
      <formula>NOT(ISERROR(SEARCH("ACEPTABLE",B19)))</formula>
    </cfRule>
    <cfRule type="containsText" dxfId="61" priority="21" operator="containsText" text="ÓPTIMO">
      <formula>NOT(ISERROR(SEARCH("ÓPTIMO",B19)))</formula>
    </cfRule>
  </conditionalFormatting>
  <conditionalFormatting sqref="C25">
    <cfRule type="expression" dxfId="60" priority="31">
      <formula>IF(I14&lt;=1.35,"Interpretación: La conversión del Sitio 2 se encuentra en rango óptimo. Mantener el manejo actual y continuar monitoreando el consumo.","")</formula>
    </cfRule>
  </conditionalFormatting>
  <conditionalFormatting sqref="F19:G20">
    <cfRule type="containsText" dxfId="59" priority="16" operator="containsText" text="DEFICIENTE">
      <formula>NOT(ISERROR(SEARCH("DEFICIENTE",F19)))</formula>
    </cfRule>
    <cfRule type="containsText" dxfId="58" priority="17" operator="containsText" text="ACEPTABLE">
      <formula>NOT(ISERROR(SEARCH("ACEPTABLE",F19)))</formula>
    </cfRule>
    <cfRule type="containsText" dxfId="57" priority="18" operator="containsText" text="ÓPTIMO">
      <formula>NOT(ISERROR(SEARCH("ÓPTIMO",F19)))</formula>
    </cfRule>
  </conditionalFormatting>
  <conditionalFormatting sqref="G18:H18">
    <cfRule type="expression" dxfId="56" priority="28">
      <formula>$G$14&gt;=8.5</formula>
    </cfRule>
    <cfRule type="expression" dxfId="55" priority="29">
      <formula>AND($G$14&gt;7.5,$G$14&lt;=8.5)</formula>
    </cfRule>
    <cfRule type="expression" dxfId="54" priority="30">
      <formula>$G$14&lt;=7.5</formula>
    </cfRule>
  </conditionalFormatting>
  <conditionalFormatting sqref="J19:K20">
    <cfRule type="containsText" dxfId="53" priority="13" operator="containsText" text="DEFICIENTE">
      <formula>NOT(ISERROR(SEARCH("DEFICIENTE",J19)))</formula>
    </cfRule>
    <cfRule type="containsText" dxfId="52" priority="14" operator="containsText" text="ACEPTABLE">
      <formula>NOT(ISERROR(SEARCH("ACEPTABLE",J19)))</formula>
    </cfRule>
    <cfRule type="containsText" dxfId="51" priority="15" operator="containsText" text="ÓPTIMO">
      <formula>NOT(ISERROR(SEARCH("ÓPTIMO",J19)))</formula>
    </cfRule>
  </conditionalFormatting>
  <conditionalFormatting sqref="L7:N9">
    <cfRule type="containsText" dxfId="50" priority="4" operator="containsText" text="DEFICIENTE">
      <formula>NOT(ISERROR(SEARCH("DEFICIENTE",L7)))</formula>
    </cfRule>
    <cfRule type="containsText" dxfId="49" priority="5" operator="containsText" text="ACEPTABLE">
      <formula>NOT(ISERROR(SEARCH("ACEPTABLE",L7)))</formula>
    </cfRule>
    <cfRule type="containsText" dxfId="48" priority="6" operator="containsText" text="ÓPTIMO">
      <formula>NOT(ISERROR(SEARCH("ÓPTIMO",L7)))</formula>
    </cfRule>
  </conditionalFormatting>
  <conditionalFormatting sqref="N19:O20">
    <cfRule type="containsText" dxfId="47" priority="10" operator="containsText" text="DEFICIENTE">
      <formula>NOT(ISERROR(SEARCH("DEFICIENTE",N19)))</formula>
    </cfRule>
    <cfRule type="containsText" dxfId="46" priority="11" operator="containsText" text="ACEPTABLE">
      <formula>NOT(ISERROR(SEARCH("ACEPTABLE",N19)))</formula>
    </cfRule>
    <cfRule type="containsText" dxfId="45" priority="12" operator="containsText" text="ÓPTIMO">
      <formula>NOT(ISERROR(SEARCH("ÓPTIMO",N19)))</formula>
    </cfRule>
  </conditionalFormatting>
  <conditionalFormatting sqref="P25:P26">
    <cfRule type="expression" dxfId="44" priority="32">
      <formula>IF(T14&lt;=1.35,"Interpretación: La conversión del Sitio 2 se encuentra en rango óptimo. Mantener el manejo actual y continuar monitoreando el consumo.","")</formula>
    </cfRule>
  </conditionalFormatting>
  <conditionalFormatting sqref="J7:K9">
    <cfRule type="expression" dxfId="43" priority="1">
      <formula>VALUE(J7)&lt;0.85</formula>
    </cfRule>
    <cfRule type="expression" dxfId="42" priority="2">
      <formula>AND(VALUE(J7)&gt;=0.85, VALUE(J7)&lt;0.9)</formula>
    </cfRule>
    <cfRule type="expression" dxfId="41" priority="3">
      <formula>VALUE(J7)&gt;=0.9</formula>
    </cfRule>
  </conditionalFormatting>
  <pageMargins left="0.7" right="0.7" top="0.75" bottom="0.75" header="0.3" footer="0.3"/>
  <pageSetup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15204-F1A7-9649-AF68-40A6B1B3A5B0}">
  <sheetPr>
    <tabColor theme="6" tint="-0.499984740745262"/>
  </sheetPr>
  <dimension ref="A1:Y1048568"/>
  <sheetViews>
    <sheetView showGridLines="0" zoomScale="150" zoomScaleNormal="150" workbookViewId="0">
      <selection activeCell="L7" sqref="L7:N9"/>
      <extLst>
        <ext xmlns:xlsdti="http://schemas.microsoft.com/office/spreadsheetml/2023/showDataTypeIcons" uri="{77bfe23e-c014-4d31-8a63-9c772dbf06b6}">
          <xlsdti:showDataTypeIcons visible="0"/>
        </ext>
      </extLst>
    </sheetView>
  </sheetViews>
  <sheetFormatPr baseColWidth="10" defaultColWidth="0" defaultRowHeight="15" customHeight="1" zeroHeight="1" x14ac:dyDescent="0.2"/>
  <cols>
    <col min="1" max="1" width="4.6640625" style="45" customWidth="1"/>
    <col min="2" max="5" width="10.83203125" style="45" customWidth="1"/>
    <col min="6" max="6" width="4" style="45" customWidth="1"/>
    <col min="7" max="7" width="11" style="45" customWidth="1"/>
    <col min="8" max="10" width="10.83203125" style="45" customWidth="1"/>
    <col min="11" max="11" width="5.83203125" style="45" customWidth="1"/>
    <col min="12" max="12" width="4.5" style="45" customWidth="1"/>
    <col min="13" max="16" width="10.83203125" style="45" customWidth="1"/>
    <col min="17" max="17" width="4.33203125" style="45" customWidth="1"/>
    <col min="18" max="16384" width="10.83203125" style="45" hidden="1"/>
  </cols>
  <sheetData>
    <row r="1" spans="2:25" ht="15" customHeight="1" x14ac:dyDescent="0.2">
      <c r="B1" s="129" t="s">
        <v>45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44"/>
      <c r="Y1" s="46">
        <v>1</v>
      </c>
    </row>
    <row r="2" spans="2:25" ht="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44"/>
      <c r="Y2" s="46">
        <v>0</v>
      </c>
    </row>
    <row r="3" spans="2:25" ht="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44"/>
      <c r="Y3" s="46">
        <v>0</v>
      </c>
    </row>
    <row r="4" spans="2:25" ht="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44"/>
      <c r="Y4" s="46">
        <f>Y1+Y2+Y3</f>
        <v>1</v>
      </c>
    </row>
    <row r="5" spans="2:25" ht="15" customHeight="1" x14ac:dyDescent="0.2">
      <c r="B5" s="43"/>
      <c r="C5" s="43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43"/>
      <c r="Q5" s="44"/>
    </row>
    <row r="6" spans="2:25" ht="14" customHeight="1" x14ac:dyDescent="0.2"/>
    <row r="7" spans="2:25" ht="20" customHeight="1" x14ac:dyDescent="0.2">
      <c r="B7" s="142" t="s">
        <v>47</v>
      </c>
      <c r="C7" s="142"/>
      <c r="D7" s="142"/>
      <c r="E7" s="142"/>
      <c r="F7" s="142"/>
      <c r="G7" s="142"/>
      <c r="H7" s="142"/>
      <c r="I7" s="150">
        <f>'Configuracion Productiva'!F17</f>
        <v>0.87306835443038</v>
      </c>
      <c r="J7" s="150"/>
      <c r="K7" s="150"/>
      <c r="L7" s="143" t="str">
        <f>IF(I7&gt;=90%,"ÓPTIMO",IF(I7&gt;=85%,"ACEPTABLE","DEFICIENTE"))</f>
        <v>ACEPTABLE</v>
      </c>
      <c r="M7" s="143"/>
      <c r="N7" s="143"/>
      <c r="O7" s="144" t="str">
        <f>IF(L7="ÓPTIMO","🟢",IF(L7="ACEPTABLE","🟡","🔴"))</f>
        <v>🟡</v>
      </c>
      <c r="P7" s="144"/>
    </row>
    <row r="8" spans="2:25" ht="20" customHeight="1" x14ac:dyDescent="0.2">
      <c r="B8" s="142"/>
      <c r="C8" s="142"/>
      <c r="D8" s="142"/>
      <c r="E8" s="142"/>
      <c r="F8" s="142"/>
      <c r="G8" s="142"/>
      <c r="H8" s="142"/>
      <c r="I8" s="150"/>
      <c r="J8" s="150"/>
      <c r="K8" s="150"/>
      <c r="L8" s="143"/>
      <c r="M8" s="143"/>
      <c r="N8" s="143"/>
      <c r="O8" s="144"/>
      <c r="P8" s="144"/>
    </row>
    <row r="9" spans="2:25" ht="20" customHeight="1" x14ac:dyDescent="0.2">
      <c r="B9" s="142"/>
      <c r="C9" s="142"/>
      <c r="D9" s="142"/>
      <c r="E9" s="142"/>
      <c r="F9" s="142"/>
      <c r="G9" s="142"/>
      <c r="H9" s="142"/>
      <c r="I9" s="150"/>
      <c r="J9" s="150"/>
      <c r="K9" s="150"/>
      <c r="L9" s="143"/>
      <c r="M9" s="143"/>
      <c r="N9" s="143"/>
      <c r="O9" s="144"/>
      <c r="P9" s="144"/>
    </row>
    <row r="10" spans="2:25" ht="12" customHeight="1" x14ac:dyDescent="0.2"/>
    <row r="11" spans="2:25" ht="22" customHeight="1" x14ac:dyDescent="0.2">
      <c r="B11" s="147" t="s">
        <v>48</v>
      </c>
      <c r="C11" s="147"/>
      <c r="D11" s="147"/>
      <c r="E11" s="147"/>
      <c r="F11" s="83"/>
      <c r="G11" s="151" t="s">
        <v>52</v>
      </c>
      <c r="H11" s="151"/>
      <c r="I11" s="151"/>
      <c r="J11" s="151"/>
      <c r="K11" s="151"/>
      <c r="L11" s="83"/>
      <c r="M11" s="152" t="s">
        <v>49</v>
      </c>
      <c r="N11" s="152"/>
      <c r="O11" s="152"/>
      <c r="P11" s="152"/>
    </row>
    <row r="12" spans="2:25" ht="15" customHeight="1" x14ac:dyDescent="0.2">
      <c r="B12" s="147"/>
      <c r="C12" s="147"/>
      <c r="D12" s="147"/>
      <c r="E12" s="147"/>
      <c r="F12" s="83"/>
      <c r="G12" s="151"/>
      <c r="H12" s="151"/>
      <c r="I12" s="151"/>
      <c r="J12" s="151"/>
      <c r="K12" s="151"/>
      <c r="L12" s="83"/>
      <c r="M12" s="152"/>
      <c r="N12" s="152"/>
      <c r="O12" s="152"/>
      <c r="P12" s="152"/>
    </row>
    <row r="13" spans="2:25" ht="11" customHeight="1" x14ac:dyDescent="0.3">
      <c r="B13" s="71"/>
      <c r="C13" s="71"/>
      <c r="D13" s="71"/>
      <c r="E13" s="59"/>
      <c r="F13" s="84"/>
      <c r="G13" s="72"/>
      <c r="H13" s="72"/>
      <c r="I13" s="61"/>
      <c r="J13" s="72"/>
      <c r="K13" s="72"/>
      <c r="L13" s="84"/>
      <c r="M13" s="47"/>
      <c r="N13" s="72"/>
      <c r="O13" s="72"/>
      <c r="P13" s="72"/>
    </row>
    <row r="14" spans="2:25" ht="15" customHeight="1" x14ac:dyDescent="0.2">
      <c r="B14" s="79"/>
      <c r="C14" s="79"/>
      <c r="D14" s="80"/>
      <c r="E14" s="47"/>
      <c r="F14" s="85"/>
      <c r="G14" s="148" t="s">
        <v>53</v>
      </c>
      <c r="H14" s="148"/>
      <c r="I14" s="173">
        <f>'Configuracion Productiva'!L13/'Configuracion Productiva'!L12</f>
        <v>1.0002356015335518</v>
      </c>
      <c r="J14" s="154" t="str">
        <f>IF(I14&gt;=95%,"🟢",IF(I14&gt;=90%,"🟡","🔴"))</f>
        <v>🟢</v>
      </c>
      <c r="K14" s="154"/>
      <c r="L14" s="91"/>
      <c r="M14" s="47"/>
      <c r="N14" s="79"/>
      <c r="O14" s="79"/>
      <c r="P14" s="80"/>
    </row>
    <row r="15" spans="2:25" ht="15" customHeight="1" x14ac:dyDescent="0.2">
      <c r="B15" s="79"/>
      <c r="C15" s="79"/>
      <c r="D15" s="80"/>
      <c r="E15" s="60"/>
      <c r="F15" s="85"/>
      <c r="G15" s="148"/>
      <c r="H15" s="148"/>
      <c r="I15" s="173"/>
      <c r="J15" s="154"/>
      <c r="K15" s="154"/>
      <c r="L15" s="91"/>
      <c r="M15" s="47"/>
      <c r="N15" s="79"/>
      <c r="O15" s="79"/>
      <c r="P15" s="80"/>
    </row>
    <row r="16" spans="2:25" ht="15" customHeight="1" x14ac:dyDescent="0.2">
      <c r="B16" s="79"/>
      <c r="C16" s="79"/>
      <c r="D16" s="81"/>
      <c r="E16" s="60"/>
      <c r="F16" s="85"/>
      <c r="G16" s="149" t="str">
        <f>IF(I14&gt;=95%,
"El flujo de crecimiento mantiene una viabilidad adecuada hacia la etapa de engorde.",
IF(I14&gt;=90%,
"La viabilidad en crecimiento presenta desviaciones moderadas que podrían afectar el flujo posterior.",
"La pérdida acumulada en crecimiento podría comprometer significativamente el inventario futuro."))</f>
        <v>El flujo de crecimiento mantiene una viabilidad adecuada hacia la etapa de engorde.</v>
      </c>
      <c r="H16" s="149"/>
      <c r="I16" s="149"/>
      <c r="J16" s="149"/>
      <c r="K16" s="149"/>
      <c r="L16" s="92"/>
      <c r="M16" s="47"/>
      <c r="N16" s="79"/>
      <c r="O16" s="79"/>
      <c r="P16" s="81"/>
    </row>
    <row r="17" spans="2:16" ht="15" customHeight="1" x14ac:dyDescent="0.2">
      <c r="B17" s="79"/>
      <c r="C17" s="79"/>
      <c r="D17" s="82"/>
      <c r="E17" s="60"/>
      <c r="F17" s="85"/>
      <c r="G17" s="149"/>
      <c r="H17" s="149"/>
      <c r="I17" s="149"/>
      <c r="J17" s="149"/>
      <c r="K17" s="149"/>
      <c r="L17" s="93"/>
      <c r="M17" s="47"/>
      <c r="N17" s="79"/>
      <c r="O17" s="79"/>
      <c r="P17" s="82"/>
    </row>
    <row r="18" spans="2:16" ht="15" customHeight="1" x14ac:dyDescent="0.2">
      <c r="B18" s="79"/>
      <c r="C18" s="79"/>
      <c r="D18" s="82"/>
      <c r="E18" s="60"/>
      <c r="F18" s="85"/>
      <c r="G18" s="96"/>
      <c r="H18" s="96"/>
      <c r="I18" s="96"/>
      <c r="J18" s="96"/>
      <c r="K18" s="96"/>
      <c r="L18" s="93"/>
      <c r="M18" s="47"/>
      <c r="N18" s="79"/>
      <c r="O18" s="79"/>
      <c r="P18" s="82"/>
    </row>
    <row r="19" spans="2:16" ht="15" customHeight="1" x14ac:dyDescent="0.2">
      <c r="B19" s="47"/>
      <c r="C19" s="60"/>
      <c r="D19" s="60"/>
      <c r="E19" s="60"/>
      <c r="F19" s="44"/>
      <c r="G19" s="53"/>
      <c r="H19" s="53"/>
      <c r="I19" s="62"/>
      <c r="J19" s="62"/>
      <c r="K19" s="63"/>
      <c r="L19" s="56"/>
      <c r="M19" s="47"/>
      <c r="N19" s="47"/>
      <c r="O19" s="64"/>
      <c r="P19" s="64"/>
    </row>
    <row r="20" spans="2:16" ht="15" customHeight="1" x14ac:dyDescent="0.2">
      <c r="B20" s="77"/>
      <c r="C20" s="77"/>
      <c r="D20" s="78"/>
      <c r="E20" s="60"/>
      <c r="F20" s="86"/>
      <c r="G20" s="148" t="s">
        <v>54</v>
      </c>
      <c r="H20" s="148"/>
      <c r="I20" s="173">
        <f>'Configuracion Productiva'!R20/'Configuracion Productiva'!R19</f>
        <v>0.9999795505204393</v>
      </c>
      <c r="J20" s="153" t="str">
        <f>IF(I20&gt;=96%,"🟢",IF(I20&gt;=93%,"🟡","🔴"))</f>
        <v>🟢</v>
      </c>
      <c r="K20" s="153"/>
      <c r="L20" s="94"/>
      <c r="M20" s="47"/>
      <c r="N20" s="74"/>
      <c r="O20" s="74"/>
      <c r="P20" s="75"/>
    </row>
    <row r="21" spans="2:16" ht="15" customHeight="1" x14ac:dyDescent="0.2">
      <c r="B21" s="77"/>
      <c r="C21" s="77"/>
      <c r="D21" s="78"/>
      <c r="E21" s="60"/>
      <c r="F21" s="86"/>
      <c r="G21" s="148"/>
      <c r="H21" s="148"/>
      <c r="I21" s="173"/>
      <c r="J21" s="153"/>
      <c r="K21" s="153"/>
      <c r="L21" s="94"/>
      <c r="M21" s="47"/>
      <c r="N21" s="74"/>
      <c r="O21" s="74"/>
      <c r="P21" s="75"/>
    </row>
    <row r="22" spans="2:16" ht="14" customHeight="1" x14ac:dyDescent="0.2">
      <c r="B22" s="66"/>
      <c r="C22" s="66"/>
      <c r="D22" s="69"/>
      <c r="E22" s="60"/>
      <c r="F22" s="87"/>
      <c r="G22" s="149" t="str">
        <f>IF(I20&gt;=96%,
"El flujo de engorde mantiene una viabilidad adecuada hacia la etapa de comercialización.",
IF(I20&gt;=93%,
"La viabilidad en engorde presenta desviaciones moderadas que podrían afectar parcialmente el volumen final de venta.",
"La pérdida acumulada en engorde podría comprometer significativamente la capacidad comercial de la granja."))</f>
        <v>El flujo de engorde mantiene una viabilidad adecuada hacia la etapa de comercialización.</v>
      </c>
      <c r="H22" s="149"/>
      <c r="I22" s="149"/>
      <c r="J22" s="149"/>
      <c r="K22" s="149"/>
      <c r="L22" s="95"/>
      <c r="M22" s="47"/>
      <c r="N22" s="68"/>
      <c r="O22" s="68"/>
      <c r="P22" s="65"/>
    </row>
    <row r="23" spans="2:16" ht="18" customHeight="1" x14ac:dyDescent="0.2">
      <c r="B23" s="70"/>
      <c r="C23" s="70"/>
      <c r="D23" s="70"/>
      <c r="E23" s="47"/>
      <c r="F23" s="88"/>
      <c r="G23" s="149"/>
      <c r="H23" s="149"/>
      <c r="I23" s="149"/>
      <c r="J23" s="149"/>
      <c r="K23" s="149"/>
      <c r="L23" s="89"/>
      <c r="M23" s="47"/>
      <c r="N23" s="70"/>
      <c r="O23" s="70"/>
      <c r="P23" s="70"/>
    </row>
    <row r="24" spans="2:16" ht="29" customHeight="1" x14ac:dyDescent="0.2">
      <c r="B24" s="70"/>
      <c r="C24" s="70"/>
      <c r="D24" s="70"/>
      <c r="E24" s="47"/>
      <c r="F24" s="88"/>
      <c r="G24" s="70"/>
      <c r="H24" s="70"/>
      <c r="I24" s="47"/>
      <c r="J24" s="76"/>
      <c r="K24" s="76"/>
      <c r="L24" s="89"/>
      <c r="M24" s="47"/>
      <c r="N24" s="70"/>
      <c r="O24" s="70"/>
      <c r="P24" s="70"/>
    </row>
    <row r="25" spans="2:16" ht="19" customHeight="1" x14ac:dyDescent="0.2">
      <c r="B25" s="49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49"/>
    </row>
    <row r="26" spans="2:16" ht="30" hidden="1" customHeight="1" x14ac:dyDescent="0.2">
      <c r="B26" s="49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49"/>
    </row>
    <row r="1048568" ht="21" hidden="1" customHeight="1" x14ac:dyDescent="0.2"/>
  </sheetData>
  <sheetProtection algorithmName="SHA-512" hashValue="2SsntVzy+IuJMeJDdV8d8JHEhm638JvxL9gUFcOsPUCgtQOB/S8pHo1uCWJGGgIdbWAjB/mu36mHjzh673F3SA==" saltValue="+0fOZkl9QTQZXAvmQyAWqw==" spinCount="100000" sheet="1" objects="1" scenarios="1" selectLockedCells="1"/>
  <mergeCells count="17">
    <mergeCell ref="G22:K23"/>
    <mergeCell ref="G11:K12"/>
    <mergeCell ref="M11:P12"/>
    <mergeCell ref="J20:K21"/>
    <mergeCell ref="J14:K15"/>
    <mergeCell ref="B1:P4"/>
    <mergeCell ref="D5:O5"/>
    <mergeCell ref="L7:N9"/>
    <mergeCell ref="O7:P9"/>
    <mergeCell ref="B7:H9"/>
    <mergeCell ref="I7:K9"/>
    <mergeCell ref="B11:E12"/>
    <mergeCell ref="G14:H15"/>
    <mergeCell ref="I14:I15"/>
    <mergeCell ref="G16:K17"/>
    <mergeCell ref="G20:H21"/>
    <mergeCell ref="I20:I21"/>
  </mergeCells>
  <conditionalFormatting sqref="B25:B26">
    <cfRule type="expression" dxfId="40" priority="34">
      <formula>IF(G14&lt;=1.35,"Interpretación: La conversión del Sitio 2 se encuentra en rango óptimo. Mantener el manejo actual y continuar monitoreando el consumo.","")</formula>
    </cfRule>
  </conditionalFormatting>
  <conditionalFormatting sqref="B20:C22">
    <cfRule type="containsText" dxfId="39" priority="31" operator="containsText" text="DEFICIENTE">
      <formula>NOT(ISERROR(SEARCH("DEFICIENTE",B20)))</formula>
    </cfRule>
    <cfRule type="containsText" dxfId="38" priority="32" operator="containsText" text="ACEPTABLE">
      <formula>NOT(ISERROR(SEARCH("ACEPTABLE",B20)))</formula>
    </cfRule>
    <cfRule type="containsText" dxfId="37" priority="33" operator="containsText" text="ÓPTIMO">
      <formula>NOT(ISERROR(SEARCH("ÓPTIMO",B20)))</formula>
    </cfRule>
  </conditionalFormatting>
  <conditionalFormatting sqref="C25">
    <cfRule type="expression" dxfId="36" priority="38">
      <formula>IF(I14&lt;=1.35,"Interpretación: La conversión del Sitio 2 se encuentra en rango óptimo. Mantener el manejo actual y continuar monitoreando el consumo.","")</formula>
    </cfRule>
  </conditionalFormatting>
  <conditionalFormatting sqref="F20:F21">
    <cfRule type="containsText" dxfId="35" priority="28" operator="containsText" text="DEFICIENTE">
      <formula>NOT(ISERROR(SEARCH("DEFICIENTE",F20)))</formula>
    </cfRule>
    <cfRule type="containsText" dxfId="34" priority="29" operator="containsText" text="ACEPTABLE">
      <formula>NOT(ISERROR(SEARCH("ACEPTABLE",F20)))</formula>
    </cfRule>
    <cfRule type="containsText" dxfId="33" priority="30" operator="containsText" text="ÓPTIMO">
      <formula>NOT(ISERROR(SEARCH("ÓPTIMO",F20)))</formula>
    </cfRule>
  </conditionalFormatting>
  <conditionalFormatting sqref="G19:H19">
    <cfRule type="expression" dxfId="32" priority="35">
      <formula>$G$14&gt;=8.5</formula>
    </cfRule>
    <cfRule type="expression" dxfId="31" priority="36">
      <formula>AND($G$14&gt;7.5,$G$14&lt;=8.5)</formula>
    </cfRule>
    <cfRule type="expression" dxfId="30" priority="37">
      <formula>$G$14&lt;=7.5</formula>
    </cfRule>
  </conditionalFormatting>
  <conditionalFormatting sqref="I7">
    <cfRule type="expression" dxfId="29" priority="12">
      <formula>I7&lt;85%</formula>
    </cfRule>
    <cfRule type="expression" dxfId="28" priority="14">
      <formula>AND(I7&gt;=85%,I7&lt;90%)</formula>
    </cfRule>
    <cfRule type="expression" dxfId="27" priority="15">
      <formula>I7&gt;=90%</formula>
    </cfRule>
  </conditionalFormatting>
  <conditionalFormatting sqref="I14:I15">
    <cfRule type="expression" dxfId="26" priority="4">
      <formula>I14&lt;90%</formula>
    </cfRule>
    <cfRule type="expression" dxfId="25" priority="6">
      <formula>AND(I14&gt;=90%,I14&lt;95%)</formula>
    </cfRule>
    <cfRule type="expression" dxfId="24" priority="7">
      <formula>I14&gt;=95%</formula>
    </cfRule>
  </conditionalFormatting>
  <conditionalFormatting sqref="I20:I21">
    <cfRule type="expression" dxfId="23" priority="1">
      <formula>I20&lt;93%</formula>
    </cfRule>
    <cfRule type="expression" dxfId="22" priority="2">
      <formula>AND(I20&gt;=93%,I20&lt;96%)</formula>
    </cfRule>
    <cfRule type="expression" dxfId="21" priority="3">
      <formula>I20&gt;=96%</formula>
    </cfRule>
  </conditionalFormatting>
  <conditionalFormatting sqref="J20">
    <cfRule type="containsText" dxfId="20" priority="25" operator="containsText" text="DEFICIENTE">
      <formula>NOT(ISERROR(SEARCH("DEFICIENTE",J20)))</formula>
    </cfRule>
    <cfRule type="containsText" dxfId="19" priority="26" operator="containsText" text="ACEPTABLE">
      <formula>NOT(ISERROR(SEARCH("ACEPTABLE",J20)))</formula>
    </cfRule>
    <cfRule type="containsText" dxfId="18" priority="27" operator="containsText" text="ÓPTIMO">
      <formula>NOT(ISERROR(SEARCH("ÓPTIMO",J20)))</formula>
    </cfRule>
  </conditionalFormatting>
  <conditionalFormatting sqref="L7:N9">
    <cfRule type="containsText" dxfId="17" priority="16" operator="containsText" text="DEFICIENTE">
      <formula>NOT(ISERROR(SEARCH("DEFICIENTE",L7)))</formula>
    </cfRule>
    <cfRule type="containsText" dxfId="11" priority="17" operator="containsText" text="ACEPTABLE">
      <formula>NOT(ISERROR(SEARCH("ACEPTABLE",L7)))</formula>
    </cfRule>
    <cfRule type="containsText" dxfId="16" priority="18" operator="containsText" text="ÓPTIMO">
      <formula>NOT(ISERROR(SEARCH("ÓPTIMO",L7)))</formula>
    </cfRule>
  </conditionalFormatting>
  <conditionalFormatting sqref="N20:O21">
    <cfRule type="containsText" dxfId="15" priority="22" operator="containsText" text="DEFICIENTE">
      <formula>NOT(ISERROR(SEARCH("DEFICIENTE",N20)))</formula>
    </cfRule>
    <cfRule type="containsText" dxfId="14" priority="23" operator="containsText" text="ACEPTABLE">
      <formula>NOT(ISERROR(SEARCH("ACEPTABLE",N20)))</formula>
    </cfRule>
    <cfRule type="containsText" dxfId="13" priority="24" operator="containsText" text="ÓPTIMO">
      <formula>NOT(ISERROR(SEARCH("ÓPTIMO",N20)))</formula>
    </cfRule>
  </conditionalFormatting>
  <conditionalFormatting sqref="P25:P26">
    <cfRule type="expression" dxfId="12" priority="39">
      <formula>IF(T14&lt;=1.35,"Interpretación: La conversión del Sitio 2 se encuentra en rango óptimo. Mantener el manejo actual y continuar monitoreando el consumo.","")</formula>
    </cfRule>
  </conditionalFormatting>
  <pageMargins left="0.7" right="0.7" top="0.75" bottom="0.75" header="0.3" footer="0.3"/>
  <pageSetup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D39EB-CDB7-214B-AB1D-FAD94546B991}">
  <sheetPr>
    <tabColor theme="5" tint="-0.499984740745262"/>
  </sheetPr>
  <dimension ref="A1:Y1048568"/>
  <sheetViews>
    <sheetView showGridLines="0" topLeftCell="A3" zoomScale="150" zoomScaleNormal="150" workbookViewId="0">
      <selection activeCell="O21" sqref="O21:P24"/>
      <extLst>
        <ext xmlns:xlsdti="http://schemas.microsoft.com/office/spreadsheetml/2023/showDataTypeIcons" uri="{77bfe23e-c014-4d31-8a63-9c772dbf06b6}">
          <xlsdti:showDataTypeIcons visible="0"/>
        </ext>
      </extLst>
    </sheetView>
  </sheetViews>
  <sheetFormatPr baseColWidth="10" defaultColWidth="0" defaultRowHeight="15" customHeight="1" zeroHeight="1" x14ac:dyDescent="0.2"/>
  <cols>
    <col min="1" max="1" width="4.6640625" style="45" customWidth="1"/>
    <col min="2" max="5" width="10.83203125" style="45" customWidth="1"/>
    <col min="6" max="6" width="4" style="45" customWidth="1"/>
    <col min="7" max="7" width="11" style="45" customWidth="1"/>
    <col min="8" max="10" width="10.83203125" style="45" customWidth="1"/>
    <col min="11" max="11" width="5.83203125" style="45" customWidth="1"/>
    <col min="12" max="12" width="4.5" style="45" customWidth="1"/>
    <col min="13" max="16" width="10.83203125" style="45" customWidth="1"/>
    <col min="17" max="17" width="4.33203125" style="45" customWidth="1"/>
    <col min="18" max="16384" width="10.83203125" style="45" hidden="1"/>
  </cols>
  <sheetData>
    <row r="1" spans="2:25" ht="15" customHeight="1" x14ac:dyDescent="0.2">
      <c r="B1" s="129" t="s">
        <v>55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44"/>
      <c r="Y1" s="46">
        <v>1</v>
      </c>
    </row>
    <row r="2" spans="2:25" ht="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44"/>
      <c r="Y2" s="46">
        <v>0</v>
      </c>
    </row>
    <row r="3" spans="2:25" ht="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44"/>
      <c r="Y3" s="46">
        <v>0</v>
      </c>
    </row>
    <row r="4" spans="2:25" ht="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44"/>
      <c r="Y4" s="46">
        <f>Y1+Y2+Y3</f>
        <v>1</v>
      </c>
    </row>
    <row r="5" spans="2:25" ht="15" customHeight="1" x14ac:dyDescent="0.2">
      <c r="B5" s="43"/>
      <c r="C5" s="43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43"/>
      <c r="Q5" s="44"/>
    </row>
    <row r="6" spans="2:25" ht="14" customHeight="1" x14ac:dyDescent="0.2"/>
    <row r="7" spans="2:25" ht="20" customHeight="1" x14ac:dyDescent="0.6">
      <c r="B7" s="155" t="s">
        <v>56</v>
      </c>
      <c r="C7" s="155"/>
      <c r="D7" s="155"/>
      <c r="E7" s="155"/>
      <c r="F7" s="155"/>
      <c r="G7" s="155"/>
      <c r="H7" s="155"/>
      <c r="I7" s="155"/>
      <c r="J7" s="159">
        <f>'Configuracion Productiva'!F19</f>
        <v>644</v>
      </c>
      <c r="K7" s="159"/>
      <c r="L7" s="159"/>
      <c r="M7" s="155" t="s">
        <v>57</v>
      </c>
      <c r="N7" s="155"/>
      <c r="O7" s="155"/>
      <c r="P7" s="98"/>
    </row>
    <row r="8" spans="2:25" ht="20" customHeight="1" x14ac:dyDescent="0.6">
      <c r="B8" s="155"/>
      <c r="C8" s="155"/>
      <c r="D8" s="155"/>
      <c r="E8" s="155"/>
      <c r="F8" s="155"/>
      <c r="G8" s="155"/>
      <c r="H8" s="155"/>
      <c r="I8" s="155"/>
      <c r="J8" s="159"/>
      <c r="K8" s="159"/>
      <c r="L8" s="159"/>
      <c r="M8" s="155"/>
      <c r="N8" s="155"/>
      <c r="O8" s="155"/>
      <c r="P8" s="98"/>
    </row>
    <row r="9" spans="2:25" ht="20" customHeight="1" x14ac:dyDescent="0.6">
      <c r="B9" s="155"/>
      <c r="C9" s="155"/>
      <c r="D9" s="155"/>
      <c r="E9" s="155"/>
      <c r="F9" s="155"/>
      <c r="G9" s="155"/>
      <c r="H9" s="155"/>
      <c r="I9" s="155"/>
      <c r="J9" s="159"/>
      <c r="K9" s="159"/>
      <c r="L9" s="159"/>
      <c r="M9" s="155"/>
      <c r="N9" s="155"/>
      <c r="O9" s="155"/>
      <c r="P9" s="98"/>
    </row>
    <row r="10" spans="2:25" ht="12" customHeight="1" x14ac:dyDescent="0.2"/>
    <row r="11" spans="2:25" ht="22" customHeight="1" x14ac:dyDescent="0.2">
      <c r="B11" s="145" t="s">
        <v>66</v>
      </c>
      <c r="C11" s="145"/>
      <c r="D11" s="145"/>
      <c r="E11" s="145"/>
      <c r="F11" s="83"/>
      <c r="G11" s="163" t="s">
        <v>58</v>
      </c>
      <c r="H11" s="163"/>
      <c r="I11" s="163"/>
      <c r="J11" s="163"/>
      <c r="K11" s="163"/>
      <c r="L11" s="83"/>
      <c r="M11" s="175" t="str">
        <f>IF(M14&lt;0, "POTENCIAL NO CAPTURADO", "EFICIENCIA ECONÓMICA")</f>
        <v>POTENCIAL NO CAPTURADO</v>
      </c>
      <c r="N11" s="175"/>
      <c r="O11" s="175"/>
      <c r="P11" s="175"/>
    </row>
    <row r="12" spans="2:25" ht="15" customHeight="1" x14ac:dyDescent="0.2">
      <c r="B12" s="145"/>
      <c r="C12" s="145"/>
      <c r="D12" s="145"/>
      <c r="E12" s="145"/>
      <c r="F12" s="83"/>
      <c r="G12" s="163"/>
      <c r="H12" s="163"/>
      <c r="I12" s="163"/>
      <c r="J12" s="163"/>
      <c r="K12" s="163"/>
      <c r="L12" s="83"/>
      <c r="M12" s="175"/>
      <c r="N12" s="175"/>
      <c r="O12" s="175"/>
      <c r="P12" s="175"/>
    </row>
    <row r="13" spans="2:25" ht="11" customHeight="1" x14ac:dyDescent="0.3">
      <c r="B13" s="71"/>
      <c r="C13" s="71"/>
      <c r="D13" s="71"/>
      <c r="E13" s="59"/>
      <c r="F13" s="84"/>
      <c r="G13" s="72"/>
      <c r="H13" s="72"/>
      <c r="I13" s="61"/>
      <c r="J13" s="72"/>
      <c r="K13" s="72"/>
      <c r="L13" s="84"/>
      <c r="M13" s="47"/>
      <c r="N13" s="72"/>
      <c r="O13" s="72"/>
      <c r="P13" s="72"/>
    </row>
    <row r="14" spans="2:25" ht="15" customHeight="1" x14ac:dyDescent="0.2">
      <c r="B14" s="79"/>
      <c r="C14" s="79"/>
      <c r="D14" s="80"/>
      <c r="E14" s="47"/>
      <c r="F14" s="85"/>
      <c r="G14" s="160">
        <f>'Configuracion Productiva'!F20-'Configuracion Productiva'!F19</f>
        <v>-14</v>
      </c>
      <c r="H14" s="161"/>
      <c r="I14" s="162" t="s">
        <v>57</v>
      </c>
      <c r="J14" s="162"/>
      <c r="K14" s="162"/>
      <c r="L14" s="91"/>
      <c r="M14" s="174">
        <f>'Configuracion Productiva'!F23</f>
        <v>-700</v>
      </c>
      <c r="N14" s="174"/>
      <c r="O14" s="174"/>
      <c r="P14" s="174"/>
    </row>
    <row r="15" spans="2:25" ht="15" customHeight="1" x14ac:dyDescent="0.2">
      <c r="B15" s="79"/>
      <c r="C15" s="79"/>
      <c r="D15" s="80"/>
      <c r="E15" s="60"/>
      <c r="F15" s="85"/>
      <c r="G15" s="161"/>
      <c r="H15" s="161"/>
      <c r="I15" s="162"/>
      <c r="J15" s="162"/>
      <c r="K15" s="162"/>
      <c r="L15" s="91"/>
      <c r="M15" s="174"/>
      <c r="N15" s="174"/>
      <c r="O15" s="174"/>
      <c r="P15" s="174"/>
    </row>
    <row r="16" spans="2:25" ht="15" customHeight="1" x14ac:dyDescent="0.2">
      <c r="B16" s="79"/>
      <c r="C16" s="79"/>
      <c r="D16" s="81"/>
      <c r="E16" s="60"/>
      <c r="F16" s="85"/>
      <c r="G16" s="161"/>
      <c r="H16" s="161"/>
      <c r="I16" s="162"/>
      <c r="J16" s="162"/>
      <c r="K16" s="162"/>
      <c r="L16" s="92"/>
      <c r="M16" s="174"/>
      <c r="N16" s="174"/>
      <c r="O16" s="174"/>
      <c r="P16" s="174"/>
    </row>
    <row r="17" spans="2:16" ht="15" customHeight="1" x14ac:dyDescent="0.2">
      <c r="B17" s="79"/>
      <c r="C17" s="79"/>
      <c r="D17" s="82"/>
      <c r="E17" s="60"/>
      <c r="F17" s="85"/>
      <c r="G17" s="161"/>
      <c r="H17" s="161"/>
      <c r="I17" s="162"/>
      <c r="J17" s="162"/>
      <c r="K17" s="162"/>
      <c r="L17" s="93"/>
      <c r="M17" s="174"/>
      <c r="N17" s="174"/>
      <c r="O17" s="174"/>
      <c r="P17" s="174"/>
    </row>
    <row r="18" spans="2:16" ht="15" customHeight="1" x14ac:dyDescent="0.2">
      <c r="B18" s="79"/>
      <c r="C18" s="79"/>
      <c r="D18" s="82"/>
      <c r="E18" s="60"/>
      <c r="F18" s="85"/>
      <c r="G18" s="96"/>
      <c r="H18" s="96"/>
      <c r="I18" s="96"/>
      <c r="J18" s="96"/>
      <c r="K18" s="96"/>
      <c r="L18" s="93"/>
      <c r="M18" s="174"/>
      <c r="N18" s="174"/>
      <c r="O18" s="174"/>
      <c r="P18" s="174"/>
    </row>
    <row r="19" spans="2:16" ht="15" customHeight="1" x14ac:dyDescent="0.2">
      <c r="B19" s="47"/>
      <c r="C19" s="60"/>
      <c r="D19" s="60"/>
      <c r="E19" s="60"/>
      <c r="F19" s="44"/>
      <c r="G19" s="156">
        <f>'Configuracion Productiva'!F21</f>
        <v>0.97826086956521741</v>
      </c>
      <c r="H19" s="156"/>
      <c r="I19" s="103"/>
      <c r="J19" s="103"/>
      <c r="K19" s="104"/>
      <c r="L19" s="56"/>
      <c r="M19" s="174"/>
      <c r="N19" s="174"/>
      <c r="O19" s="174"/>
      <c r="P19" s="174"/>
    </row>
    <row r="20" spans="2:16" ht="15" customHeight="1" x14ac:dyDescent="0.2">
      <c r="B20" s="77"/>
      <c r="C20" s="77"/>
      <c r="D20" s="78"/>
      <c r="E20" s="60"/>
      <c r="F20" s="86"/>
      <c r="G20" s="156"/>
      <c r="H20" s="156"/>
      <c r="I20" s="157" t="s">
        <v>60</v>
      </c>
      <c r="J20" s="157"/>
      <c r="K20" s="157"/>
      <c r="L20" s="94"/>
      <c r="M20" s="174"/>
      <c r="N20" s="174"/>
      <c r="O20" s="174"/>
      <c r="P20" s="174"/>
    </row>
    <row r="21" spans="2:16" ht="15" customHeight="1" x14ac:dyDescent="0.2">
      <c r="B21" s="77"/>
      <c r="C21" s="77"/>
      <c r="D21" s="78"/>
      <c r="E21" s="60"/>
      <c r="F21" s="86"/>
      <c r="G21" s="156"/>
      <c r="H21" s="156"/>
      <c r="I21" s="157"/>
      <c r="J21" s="157"/>
      <c r="K21" s="157"/>
      <c r="L21" s="94"/>
      <c r="M21" s="158" t="s">
        <v>64</v>
      </c>
      <c r="N21" s="158"/>
      <c r="O21" s="176" t="str">
        <f>IF(M14&gt;=0,"🎯","🚨")</f>
        <v>🚨</v>
      </c>
      <c r="P21" s="177"/>
    </row>
    <row r="22" spans="2:16" ht="14" customHeight="1" x14ac:dyDescent="0.2">
      <c r="B22" s="66"/>
      <c r="C22" s="66"/>
      <c r="D22" s="69"/>
      <c r="E22" s="60"/>
      <c r="F22" s="87"/>
      <c r="G22" s="156"/>
      <c r="H22" s="156"/>
      <c r="I22" s="157"/>
      <c r="J22" s="157"/>
      <c r="K22" s="157"/>
      <c r="L22" s="95"/>
      <c r="M22" s="158"/>
      <c r="N22" s="158"/>
      <c r="O22" s="177"/>
      <c r="P22" s="177"/>
    </row>
    <row r="23" spans="2:16" ht="18" customHeight="1" x14ac:dyDescent="0.2">
      <c r="B23" s="70"/>
      <c r="C23" s="70"/>
      <c r="D23" s="70"/>
      <c r="E23" s="47"/>
      <c r="F23" s="88"/>
      <c r="G23" s="156"/>
      <c r="H23" s="156"/>
      <c r="I23" s="157"/>
      <c r="J23" s="157"/>
      <c r="K23" s="157"/>
      <c r="L23" s="89"/>
      <c r="M23" s="158"/>
      <c r="N23" s="158"/>
      <c r="O23" s="177"/>
      <c r="P23" s="177"/>
    </row>
    <row r="24" spans="2:16" ht="29" customHeight="1" x14ac:dyDescent="0.2">
      <c r="B24" s="70"/>
      <c r="C24" s="70"/>
      <c r="D24" s="70"/>
      <c r="E24" s="47"/>
      <c r="F24" s="88"/>
      <c r="G24" s="70"/>
      <c r="H24" s="70"/>
      <c r="I24" s="47"/>
      <c r="J24" s="76"/>
      <c r="K24" s="76"/>
      <c r="L24" s="89"/>
      <c r="M24" s="158"/>
      <c r="N24" s="158"/>
      <c r="O24" s="177"/>
      <c r="P24" s="177"/>
    </row>
    <row r="25" spans="2:16" ht="19" customHeight="1" x14ac:dyDescent="0.2">
      <c r="B25" s="49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49"/>
    </row>
    <row r="26" spans="2:16" ht="30" hidden="1" customHeight="1" x14ac:dyDescent="0.2">
      <c r="B26" s="49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49"/>
    </row>
    <row r="1048568" ht="21" hidden="1" customHeight="1" x14ac:dyDescent="0.2"/>
  </sheetData>
  <sheetProtection algorithmName="SHA-512" hashValue="p2nomxeMMo2enlVL2BY3Wwdu86zCHVKKkjYcp+vOMRXnDR6WLTML518PxK79KkU67Ekw0t1FqIYP0pfhOlgs9g==" saltValue="nWMhkyjnDeGeaT7+x5VBBA==" spinCount="100000" sheet="1" objects="1" scenarios="1" selectLockedCells="1"/>
  <mergeCells count="15">
    <mergeCell ref="B1:P4"/>
    <mergeCell ref="D5:O5"/>
    <mergeCell ref="M7:O9"/>
    <mergeCell ref="G19:H23"/>
    <mergeCell ref="I20:K23"/>
    <mergeCell ref="M14:P20"/>
    <mergeCell ref="M21:N24"/>
    <mergeCell ref="B7:I9"/>
    <mergeCell ref="J7:L9"/>
    <mergeCell ref="G14:H17"/>
    <mergeCell ref="I14:K17"/>
    <mergeCell ref="B11:E12"/>
    <mergeCell ref="G11:K12"/>
    <mergeCell ref="M11:P12"/>
    <mergeCell ref="O21:P24"/>
  </mergeCells>
  <conditionalFormatting sqref="B25:B26">
    <cfRule type="expression" dxfId="10" priority="36">
      <formula>IF(G14&lt;=1.35,"Interpretación: La conversión del Sitio 2 se encuentra en rango óptimo. Mantener el manejo actual y continuar monitoreando el consumo.","")</formula>
    </cfRule>
  </conditionalFormatting>
  <conditionalFormatting sqref="C25">
    <cfRule type="expression" dxfId="9" priority="40">
      <formula>IF(I14&lt;=1.35,"Interpretación: La conversión del Sitio 2 se encuentra en rango óptimo. Mantener el manejo actual y continuar monitoreando el consumo.","")</formula>
    </cfRule>
  </conditionalFormatting>
  <conditionalFormatting sqref="F20:F21">
    <cfRule type="containsText" dxfId="8" priority="30" operator="containsText" text="DEFICIENTE">
      <formula>NOT(ISERROR(SEARCH("DEFICIENTE",F20)))</formula>
    </cfRule>
    <cfRule type="containsText" dxfId="7" priority="31" operator="containsText" text="ACEPTABLE">
      <formula>NOT(ISERROR(SEARCH("ACEPTABLE",F20)))</formula>
    </cfRule>
    <cfRule type="containsText" dxfId="6" priority="32" operator="containsText" text="ÓPTIMO">
      <formula>NOT(ISERROR(SEARCH("ÓPTIMO",F20)))</formula>
    </cfRule>
  </conditionalFormatting>
  <conditionalFormatting sqref="J7 M7 B20:C22">
    <cfRule type="containsText" dxfId="5" priority="33" operator="containsText" text="DEFICIENTE">
      <formula>NOT(ISERROR(SEARCH("DEFICIENTE",B7)))</formula>
    </cfRule>
    <cfRule type="containsText" dxfId="4" priority="34" operator="containsText" text="ACEPTABLE">
      <formula>NOT(ISERROR(SEARCH("ACEPTABLE",B7)))</formula>
    </cfRule>
    <cfRule type="containsText" dxfId="3" priority="35" operator="containsText" text="ÓPTIMO">
      <formula>NOT(ISERROR(SEARCH("ÓPTIMO",B7)))</formula>
    </cfRule>
  </conditionalFormatting>
  <conditionalFormatting sqref="P25:P26">
    <cfRule type="expression" dxfId="2" priority="41">
      <formula>IF(T14&lt;=1.35,"Interpretación: La conversión del Sitio 2 se encuentra en rango óptimo. Mantener el manejo actual y continuar monitoreando el consumo.","")</formula>
    </cfRule>
  </conditionalFormatting>
  <conditionalFormatting sqref="M14:P20">
    <cfRule type="expression" dxfId="1" priority="9">
      <formula>M14&lt;0</formula>
    </cfRule>
  </conditionalFormatting>
  <conditionalFormatting sqref="M14">
    <cfRule type="expression" dxfId="0" priority="8">
      <formula>M14&gt;=0</formula>
    </cfRule>
  </conditionalFormatting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Inicio</vt:lpstr>
      <vt:lpstr>Configuracion Productiva</vt:lpstr>
      <vt:lpstr>Rad Inv Reproductivo</vt:lpstr>
      <vt:lpstr>Rad Flujo Productivo</vt:lpstr>
      <vt:lpstr>Brecha Potencial Productivo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 Gustavo Castellanos</dc:creator>
  <cp:lastModifiedBy>Edi Gustavo Castellanos</cp:lastModifiedBy>
  <dcterms:created xsi:type="dcterms:W3CDTF">2026-03-04T21:16:20Z</dcterms:created>
  <dcterms:modified xsi:type="dcterms:W3CDTF">2026-06-02T04:12:02Z</dcterms:modified>
</cp:coreProperties>
</file>